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975" firstSheet="1" activeTab="1"/>
  </bookViews>
  <sheets>
    <sheet name="ORÇAMENTO (ESTIMADO) " sheetId="3" state="hidden" r:id="rId1"/>
    <sheet name="ORÇAMENTO  (PROJETO)" sheetId="7" r:id="rId2"/>
    <sheet name="CRONOGRAMA" sheetId="9" r:id="rId3"/>
    <sheet name="RESUMO " sheetId="8" r:id="rId4"/>
    <sheet name="TRANSPORTE MATERIAL BETUMINOSO" sheetId="11" r:id="rId5"/>
    <sheet name="QUANTITATIVOS" sheetId="4" state="hidden" r:id="rId6"/>
    <sheet name="Nota Serviço" sheetId="5" state="hidden" r:id="rId7"/>
    <sheet name="Volume" sheetId="6" state="hidden" r:id="rId8"/>
    <sheet name="COMPOSIÇÕES" sheetId="13" r:id="rId9"/>
    <sheet name="ESCAVAÇÃO" sheetId="14" r:id="rId10"/>
    <sheet name="BDI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OUT98" localSheetId="9" hidden="1">{#N/A,#N/A,TRUE,"Serviços"}</definedName>
    <definedName name="________________OUT98" hidden="1">{#N/A,#N/A,TRUE,"Serviços"}</definedName>
    <definedName name="_______________OUT98" localSheetId="9" hidden="1">{#N/A,#N/A,TRUE,"Serviços"}</definedName>
    <definedName name="_______________OUT98" hidden="1">{#N/A,#N/A,TRUE,"Serviços"}</definedName>
    <definedName name="______________OUT98" localSheetId="9" hidden="1">{#N/A,#N/A,TRUE,"Serviços"}</definedName>
    <definedName name="______________OUT98" hidden="1">{#N/A,#N/A,TRUE,"Serviços"}</definedName>
    <definedName name="_____________OUT98" localSheetId="9" hidden="1">{#N/A,#N/A,TRUE,"Serviços"}</definedName>
    <definedName name="_____________OUT98" localSheetId="4" hidden="1">{#N/A,#N/A,TRUE,"Serviços"}</definedName>
    <definedName name="_____________OUT98" hidden="1">{#N/A,#N/A,TRUE,"Serviços"}</definedName>
    <definedName name="____________OUT98" localSheetId="9" hidden="1">{#N/A,#N/A,TRUE,"Serviços"}</definedName>
    <definedName name="____________OUT98" localSheetId="4" hidden="1">{#N/A,#N/A,TRUE,"Serviços"}</definedName>
    <definedName name="____________OUT98" hidden="1">{#N/A,#N/A,TRUE,"Serviços"}</definedName>
    <definedName name="___________OUT98" localSheetId="9" hidden="1">{#N/A,#N/A,TRUE,"Serviços"}</definedName>
    <definedName name="___________OUT98" localSheetId="4" hidden="1">{#N/A,#N/A,TRUE,"Serviços"}</definedName>
    <definedName name="___________OUT98" hidden="1">{#N/A,#N/A,TRUE,"Serviços"}</definedName>
    <definedName name="__________OUT98" localSheetId="9" hidden="1">{#N/A,#N/A,TRUE,"Serviços"}</definedName>
    <definedName name="__________OUT98" localSheetId="4" hidden="1">{#N/A,#N/A,TRUE,"Serviços"}</definedName>
    <definedName name="__________OUT98" hidden="1">{#N/A,#N/A,TRUE,"Serviços"}</definedName>
    <definedName name="_________OUT98" localSheetId="9" hidden="1">{#N/A,#N/A,TRUE,"Serviços"}</definedName>
    <definedName name="_________OUT98" localSheetId="4" hidden="1">{#N/A,#N/A,TRUE,"Serviços"}</definedName>
    <definedName name="_________OUT98" hidden="1">{#N/A,#N/A,TRUE,"Serviços"}</definedName>
    <definedName name="________OUT98" localSheetId="9" hidden="1">{#N/A,#N/A,TRUE,"Serviços"}</definedName>
    <definedName name="________OUT98" localSheetId="4" hidden="1">{#N/A,#N/A,TRUE,"Serviços"}</definedName>
    <definedName name="________OUT98" hidden="1">{#N/A,#N/A,TRUE,"Serviços"}</definedName>
    <definedName name="_______OUT98" localSheetId="9" hidden="1">{#N/A,#N/A,TRUE,"Serviços"}</definedName>
    <definedName name="_______OUT98" localSheetId="4" hidden="1">{#N/A,#N/A,TRUE,"Serviços"}</definedName>
    <definedName name="_______OUT98" hidden="1">{#N/A,#N/A,TRUE,"Serviços"}</definedName>
    <definedName name="______OUT98" localSheetId="9" hidden="1">{#N/A,#N/A,TRUE,"Serviços"}</definedName>
    <definedName name="______OUT98" localSheetId="4" hidden="1">{#N/A,#N/A,TRUE,"Serviços"}</definedName>
    <definedName name="______OUT98" hidden="1">{#N/A,#N/A,TRUE,"Serviços"}</definedName>
    <definedName name="_____OUT98" localSheetId="9" hidden="1">{#N/A,#N/A,TRUE,"Serviços"}</definedName>
    <definedName name="_____OUT98" localSheetId="4" hidden="1">{#N/A,#N/A,TRUE,"Serviços"}</definedName>
    <definedName name="_____OUT98" hidden="1">{#N/A,#N/A,TRUE,"Serviços"}</definedName>
    <definedName name="____OUT98" localSheetId="9" hidden="1">{#N/A,#N/A,TRUE,"Serviços"}</definedName>
    <definedName name="____OUT98" localSheetId="4" hidden="1">{#N/A,#N/A,TRUE,"Serviços"}</definedName>
    <definedName name="____OUT98" hidden="1">{#N/A,#N/A,TRUE,"Serviços"}</definedName>
    <definedName name="___OUT98" localSheetId="9" hidden="1">{#N/A,#N/A,TRUE,"Serviços"}</definedName>
    <definedName name="___OUT98" hidden="1">{#N/A,#N/A,TRUE,"Serviços"}</definedName>
    <definedName name="__OUT98" localSheetId="9" hidden="1">{#N/A,#N/A,TRUE,"Serviços"}</definedName>
    <definedName name="__OUT98" localSheetId="4" hidden="1">{#N/A,#N/A,TRUE,"Serviços"}</definedName>
    <definedName name="__OUT98" hidden="1">{#N/A,#N/A,TRUE,"Serviços"}</definedName>
    <definedName name="_bdi2">#REF!</definedName>
    <definedName name="_cab1">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LAG2">[1]SERVIÇOS!$G$26</definedName>
    <definedName name="_Order1" hidden="1">255</definedName>
    <definedName name="_Order2" hidden="1">255</definedName>
    <definedName name="_OUT98" localSheetId="9" hidden="1">{#N/A,#N/A,TRUE,"Serviços"}</definedName>
    <definedName name="_OUT98" localSheetId="4" hidden="1">{#N/A,#N/A,TRUE,"Serviços"}</definedName>
    <definedName name="_OUT98" hidden="1">{#N/A,#N/A,TRUE,"Serviços"}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>'[2]Relatório-1ª med.'!#REF!</definedName>
    <definedName name="_TT107">'[2]Relatório-1ª med.'!#REF!</definedName>
    <definedName name="_TT121">'[2]Relatório-1ª med.'!#REF!</definedName>
    <definedName name="_TT123">'[2]Relatório-1ª med.'!#REF!</definedName>
    <definedName name="_TT19">'[2]Relatório-1ª med.'!#REF!</definedName>
    <definedName name="_TT20">'[2]Relatório-1ª med.'!#REF!</definedName>
    <definedName name="_TT21">'[2]Relatório-1ª med.'!#REF!</definedName>
    <definedName name="_TT22">'[2]Relatório-1ª med.'!#REF!</definedName>
    <definedName name="_TT26">'[2]Relatório-1ª med.'!#REF!</definedName>
    <definedName name="_TT27">'[2]Relatório-1ª med.'!#REF!</definedName>
    <definedName name="_TT28">'[2]Relatório-1ª med.'!#REF!</definedName>
    <definedName name="_TT30">'[2]Relatório-1ª med.'!#REF!</definedName>
    <definedName name="_TT31">'[2]Relatório-1ª med.'!#REF!</definedName>
    <definedName name="_TT32">'[2]Relatório-1ª med.'!#REF!</definedName>
    <definedName name="_TT33">'[2]Relatório-1ª med.'!#REF!</definedName>
    <definedName name="_TT34">'[2]Relatório-1ª med.'!#REF!</definedName>
    <definedName name="_TT36">'[2]Relatório-1ª med.'!#REF!</definedName>
    <definedName name="_TT37">'[2]Relatório-1ª med.'!#REF!</definedName>
    <definedName name="_TT38">'[2]Relatório-1ª med.'!#REF!</definedName>
    <definedName name="_TT39">'[2]Relatório-1ª med.'!#REF!</definedName>
    <definedName name="_TT40">'[2]Relatório-1ª med.'!#REF!</definedName>
    <definedName name="_TT5">'[2]Relatório-1ª med.'!#REF!</definedName>
    <definedName name="_TT52">'[2]Relatório-1ª med.'!#REF!</definedName>
    <definedName name="_TT53">'[2]Relatório-1ª med.'!#REF!</definedName>
    <definedName name="_TT54">'[2]Relatório-1ª med.'!#REF!</definedName>
    <definedName name="_TT55">'[2]Relatório-1ª med.'!#REF!</definedName>
    <definedName name="_TT6">'[2]Relatório-1ª med.'!#REF!</definedName>
    <definedName name="_TT60">'[2]Relatório-1ª med.'!#REF!</definedName>
    <definedName name="_TT61">'[2]Relatório-1ª med.'!#REF!</definedName>
    <definedName name="_TT69">'[2]Relatório-1ª med.'!#REF!</definedName>
    <definedName name="_TT7">'[2]Relatório-1ª med.'!#REF!</definedName>
    <definedName name="_TT70">'[2]Relatório-1ª med.'!#REF!</definedName>
    <definedName name="_TT71">'[2]Relatório-1ª med.'!#REF!</definedName>
    <definedName name="_TT74">'[2]Relatório-1ª med.'!#REF!</definedName>
    <definedName name="_TT75">'[2]Relatório-1ª med.'!#REF!</definedName>
    <definedName name="_TT76">'[2]Relatório-1ª med.'!#REF!</definedName>
    <definedName name="_TT77">'[2]Relatório-1ª med.'!#REF!</definedName>
    <definedName name="_TT78">'[2]Relatório-1ª med.'!#REF!</definedName>
    <definedName name="_TT79">'[2]Relatório-1ª med.'!#REF!</definedName>
    <definedName name="_TT94">'[2]Relatório-1ª med.'!#REF!</definedName>
    <definedName name="_TT95">'[2]Relatório-1ª med.'!#REF!</definedName>
    <definedName name="_TT97">'[2]Relatório-1ª med.'!#REF!</definedName>
    <definedName name="AND">#REF!</definedName>
    <definedName name="anscount" hidden="1">3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[3]Base!$U$40</definedName>
    <definedName name="_xlnm.Print_Area" localSheetId="8">COMPOSIÇÕES!$A$1:$I$21</definedName>
    <definedName name="_xlnm.Print_Area" localSheetId="2">CRONOGRAMA!$A$1:$J$22</definedName>
    <definedName name="_xlnm.Print_Area" localSheetId="9">#REF!</definedName>
    <definedName name="_xlnm.Print_Area" localSheetId="0">'ORÇAMENTO (ESTIMADO) '!$A$1:$I$28</definedName>
    <definedName name="_xlnm.Print_Area" localSheetId="3">'RESUMO '!$A$1:$D$19</definedName>
    <definedName name="_xlnm.Print_Area" localSheetId="4">'TRANSPORTE MATERIAL BETUMINOSO'!$A$1:$N$42</definedName>
    <definedName name="_xlnm.Print_Area">#REF!</definedName>
    <definedName name="AREAL" localSheetId="4">[4]Diagrama!$G$41</definedName>
    <definedName name="AREAL">[5]Diagrama!$G$41</definedName>
    <definedName name="areal.pista" localSheetId="4">[4]Diagrama!$G$42</definedName>
    <definedName name="areal.pista">[5]Diagrama!$G$42</definedName>
    <definedName name="AREIANP" localSheetId="4">[4]Diagrama!$G$44</definedName>
    <definedName name="AREIANP">[5]Diagrama!$G$44</definedName>
    <definedName name="AREIAPAV" localSheetId="4">[4]Diagrama!$G$43</definedName>
    <definedName name="AREIAPAV">[5]Diagrama!$G$43</definedName>
    <definedName name="ASFALTO" localSheetId="9">#REF!</definedName>
    <definedName name="ASFALTO">#REF!</definedName>
    <definedName name="ATUAL">"$#REF!.$F$29"</definedName>
    <definedName name="AUTO">"$#REF!.$D$12"</definedName>
    <definedName name="base">[6]DADOS!$B$8</definedName>
    <definedName name="bb" localSheetId="4">[7]!bb</definedName>
    <definedName name="bb">[8]!bb</definedName>
    <definedName name="bdi" localSheetId="9">#REF!</definedName>
    <definedName name="bdi">#REF!</definedName>
    <definedName name="Bloco" localSheetId="9" hidden="1">#REF!</definedName>
    <definedName name="Bloco" localSheetId="4" hidden="1">#REF!</definedName>
    <definedName name="Bloco" hidden="1">#REF!</definedName>
    <definedName name="Bloco2" localSheetId="4" hidden="1">#REF!</definedName>
    <definedName name="Bloco2" hidden="1">#REF!</definedName>
    <definedName name="BR">[9]Croqui!$B$3</definedName>
    <definedName name="BRITAP2" localSheetId="4">[4]Diagrama!$G$39</definedName>
    <definedName name="BRITAP2">[5]Diagrama!$G$39</definedName>
    <definedName name="BRITAT">[10]DADOS!$B$4</definedName>
    <definedName name="BRZ">[11]ORÇAMENTO!$B$4</definedName>
    <definedName name="cab_cortes" localSheetId="9">#REF!</definedName>
    <definedName name="cab_cortes">#REF!</definedName>
    <definedName name="cab_dmt" localSheetId="9">#REF!</definedName>
    <definedName name="cab_dmt">#REF!</definedName>
    <definedName name="cab_limpeza" localSheetId="9">#REF!</definedName>
    <definedName name="cab_limpeza">#REF!</definedName>
    <definedName name="cab_pmf">#REF!</definedName>
    <definedName name="cabmeio">#REF!</definedName>
    <definedName name="CadIns" localSheetId="4" hidden="1">#REF!</definedName>
    <definedName name="CadIns" hidden="1">#REF!</definedName>
    <definedName name="CadSrv" localSheetId="4" hidden="1">#REF!</definedName>
    <definedName name="CadSrv" hidden="1">#REF!</definedName>
    <definedName name="CAIA">"'file:///D:/Meus documentos/ANASTÁCIO/SERCEL/BR262990800.xls'#$SERVIÇOS.$#REF!$#REF!"</definedName>
    <definedName name="CAMI">"$#REF!.$D$13"</definedName>
    <definedName name="CANTEIRO" localSheetId="4">[4]Diagrama!$K$31</definedName>
    <definedName name="CANTEIRO">[5]Diagrama!$K$31</definedName>
    <definedName name="CAP20W">"$#REF!.$J$14"</definedName>
    <definedName name="CAP20WA">"$#REF!.$J$13"</definedName>
    <definedName name="CAPA" localSheetId="9" hidden="1">{#N/A,#N/A,TRUE,"Serviços"}</definedName>
    <definedName name="CAPA" localSheetId="4" hidden="1">{#N/A,#N/A,TRUE,"Serviços"}</definedName>
    <definedName name="CAPA" hidden="1">{#N/A,#N/A,TRUE,"Serviços"}</definedName>
    <definedName name="capa1" localSheetId="9" hidden="1">{#N/A,#N/A,TRUE,"Serviços"}</definedName>
    <definedName name="capa1" localSheetId="4" hidden="1">{#N/A,#N/A,TRUE,"Serviços"}</definedName>
    <definedName name="capa1" hidden="1">{#N/A,#N/A,TRUE,"Serviços"}</definedName>
    <definedName name="capa2" localSheetId="9" hidden="1">{#N/A,#N/A,TRUE,"Serviços"}</definedName>
    <definedName name="capa2" localSheetId="4" hidden="1">{#N/A,#N/A,TRUE,"Serviços"}</definedName>
    <definedName name="capa2" hidden="1">{#N/A,#N/A,TRUE,"Serviços"}</definedName>
    <definedName name="CAPSEL">[1]SERVIÇOS!$G$25</definedName>
    <definedName name="CAPTOTAL">"$#REF!.$J$12"</definedName>
    <definedName name="CARRO">'[9]CALCULOS AUXILIARES'!$E$12</definedName>
    <definedName name="çç" localSheetId="4">[7]!çç</definedName>
    <definedName name="çç">[8]!çç</definedName>
    <definedName name="cch" hidden="1">#N/A</definedName>
    <definedName name="CCP">[11]SERVIÇOS!$G$59</definedName>
    <definedName name="CCPW">"$#REF!.$E$34"</definedName>
    <definedName name="CCPWA">"$#REF!.$E$33"</definedName>
    <definedName name="CD">[11]SERVIÇOS!$G$13</definedName>
    <definedName name="CD97A">"$#REF!.$H$80"</definedName>
    <definedName name="CD97AW">"$#REF!.$H$82"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DW">"$#REF!.$H$41"</definedName>
    <definedName name="CDWA">"$#REF!.$H$40"</definedName>
    <definedName name="Chave" localSheetId="4" hidden="1">#REF!</definedName>
    <definedName name="Chave" hidden="1">#REF!</definedName>
    <definedName name="Chave1" localSheetId="4" hidden="1">#REF!</definedName>
    <definedName name="Chave1" hidden="1">#REF!</definedName>
    <definedName name="CIMENTO" localSheetId="4">[4]Diagrama!$G$46</definedName>
    <definedName name="CIMENTO">[5]Diagrama!$G$46</definedName>
    <definedName name="Clas" localSheetId="4" hidden="1">MAX(LEN(#REF!))</definedName>
    <definedName name="Clas" hidden="1">MAX(LEN(#REF!))</definedName>
    <definedName name="Cliente" hidden="1">""</definedName>
    <definedName name="Cls" hidden="1">#N/A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" localSheetId="4" hidden="1">#REF!</definedName>
    <definedName name="Cod" hidden="1">#REF!</definedName>
    <definedName name="Codigo" localSheetId="4" hidden="1">#REF!</definedName>
    <definedName name="CODIGO">#REF!</definedName>
    <definedName name="Coluna" localSheetId="4" hidden="1">#REF!</definedName>
    <definedName name="Coluna" hidden="1">#REF!</definedName>
    <definedName name="Comp" localSheetId="4" hidden="1">#REF!</definedName>
    <definedName name="Comp" hidden="1">#REF!</definedName>
    <definedName name="CONFLITO">#REF!</definedName>
    <definedName name="CONTR">[11]SERVIÇOS!$I$5</definedName>
    <definedName name="correta" localSheetId="9">#REF!</definedName>
    <definedName name="correta">#REF!</definedName>
    <definedName name="CpuAux" localSheetId="9" hidden="1">#REF!</definedName>
    <definedName name="CpuAux" localSheetId="4" hidden="1">#REF!</definedName>
    <definedName name="CpuAux" hidden="1">#REF!</definedName>
    <definedName name="CPUs" localSheetId="4" hidden="1">#REF!</definedName>
    <definedName name="CPUs" hidden="1">#REF!</definedName>
    <definedName name="CRIT" localSheetId="4" hidden="1">#REF!</definedName>
    <definedName name="CRIT" hidden="1">#REF!</definedName>
    <definedName name="_xlnm.Criteria" localSheetId="4" hidden="1">#REF!</definedName>
    <definedName name="_xlnm.Criteria" hidden="1">#REF!</definedName>
    <definedName name="cronograma" localSheetId="9" hidden="1">{#N/A,#N/A,TRUE,"Plan1"}</definedName>
    <definedName name="cronograma" localSheetId="4" hidden="1">{#N/A,#N/A,TRUE,"Plan1"}</definedName>
    <definedName name="cronograma" hidden="1">{#N/A,#N/A,TRUE,"Plan1"}</definedName>
    <definedName name="cronograma1" localSheetId="9" hidden="1">{#N/A,#N/A,TRUE,"Plan1"}</definedName>
    <definedName name="cronograma1" hidden="1">{#N/A,#N/A,TRUE,"Plan1"}</definedName>
    <definedName name="Croquiiii" localSheetId="4">[7]!Croquiiii</definedName>
    <definedName name="Croquiiii">[8]!Croquiiii</definedName>
    <definedName name="cu" localSheetId="9" hidden="1">{#N/A,#N/A,TRUE,"Serviços"}</definedName>
    <definedName name="cu" hidden="1">{#N/A,#N/A,TRUE,"Serviços"}</definedName>
    <definedName name="CunEq" localSheetId="9" hidden="1">SUM(IF(#REF! =#REF!,(#REF!)*(#REF!="EQ")))</definedName>
    <definedName name="CunEq" localSheetId="4" hidden="1">SUM(IF(#REF! =#REF!,(#REF!)*(#REF!="EQ")))</definedName>
    <definedName name="CunEq" hidden="1">SUM(IF(#REF! =#REF!,(#REF!)*(#REF!="EQ")))</definedName>
    <definedName name="CunMo" localSheetId="9" hidden="1">SUM(IF(#REF! =#REF!,(#REF!)*(#REF!="MO")))</definedName>
    <definedName name="CunMo" localSheetId="4" hidden="1">SUM(IF(#REF! =#REF!,(#REF!)*(#REF!="MO")))</definedName>
    <definedName name="CunMo" hidden="1">SUM(IF(#REF! =#REF!,(#REF!)*(#REF!="MO")))</definedName>
    <definedName name="CunMp" localSheetId="9" hidden="1">SUM(IF(#REF! =#REF!,(#REF!)*(#REF!="MP")))</definedName>
    <definedName name="CunMp" localSheetId="4" hidden="1">SUM(IF(#REF! =#REF!,(#REF!)*(#REF!="MP")))</definedName>
    <definedName name="CunMp" hidden="1">SUM(IF(#REF! =#REF!,(#REF!)*(#REF!="MP")))</definedName>
    <definedName name="dadosed" localSheetId="4">[4]EXTENSO!$AG$5:$AH$40</definedName>
    <definedName name="dadosed">[5]EXTENSO!$AG$5:$AH$40</definedName>
    <definedName name="DAER1" localSheetId="9" hidden="1">{#N/A,#N/A,TRUE,"Serviços"}</definedName>
    <definedName name="DAER1" localSheetId="4" hidden="1">{#N/A,#N/A,TRUE,"Serviços"}</definedName>
    <definedName name="DAER1" hidden="1">{#N/A,#N/A,TRUE,"Serviços"}</definedName>
    <definedName name="data">#REF!</definedName>
    <definedName name="DCA">"$#REF!.$E$31"</definedName>
    <definedName name="DCAW">"$#REF!.$E$33"</definedName>
    <definedName name="densidade_cap">#REF!</definedName>
    <definedName name="DescAux" hidden="1">#N/A</definedName>
    <definedName name="DIA">"$#REF!.$H$4"</definedName>
    <definedName name="DMT" localSheetId="9">#REF!</definedName>
    <definedName name="DMT">#REF!</definedName>
    <definedName name="DMT.BET.CBA" localSheetId="4">[4]Diagrama!$G$47</definedName>
    <definedName name="DMT.BET.CBA">[5]Diagrama!$G$47</definedName>
    <definedName name="DMT_0_50" localSheetId="9">#REF!</definedName>
    <definedName name="DMT_0_50">#REF!</definedName>
    <definedName name="DMT_1000" localSheetId="9">#REF!</definedName>
    <definedName name="DMT_1000">#REF!</definedName>
    <definedName name="DMT_200" localSheetId="9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50_300">#REF!</definedName>
    <definedName name="DMT_600">#REF!</definedName>
    <definedName name="DMT_800">#REF!</definedName>
    <definedName name="DNIT1">[9]Pato!$A$1</definedName>
    <definedName name="drena" localSheetId="9">#REF!</definedName>
    <definedName name="drena">#REF!</definedName>
    <definedName name="dsfs" localSheetId="9">#REF!</definedName>
    <definedName name="dsfs">#REF!</definedName>
    <definedName name="DTMED">"$#REF!.$C$8"</definedName>
    <definedName name="EA">[11]SERVIÇOS!$G$32</definedName>
    <definedName name="ee">[12]reg_mec_fx_dm_!#REF!</definedName>
    <definedName name="EM">"$#REF!.$E$30"</definedName>
    <definedName name="EMP">[11]SERVIÇOS!$I$6</definedName>
    <definedName name="EmpAux" hidden="1">""</definedName>
    <definedName name="Empo">#REF!</definedName>
    <definedName name="Empolamento">#REF!</definedName>
    <definedName name="EMW">"$#REF!.$E$32"</definedName>
    <definedName name="EMWA">"$#REF!.$E$31"</definedName>
    <definedName name="encp">#REF!</definedName>
    <definedName name="enct">#REF!</definedName>
    <definedName name="EQ" localSheetId="4" hidden="1">#REF!</definedName>
    <definedName name="EQ" hidden="1">#REF!</definedName>
    <definedName name="EQUIP">[13]eq!$A$2:$D$42</definedName>
    <definedName name="EQUIPAMENTOS">[6]eq!$A$2:$D$42</definedName>
    <definedName name="Excel_BuiltIn_Print_Area_2">"$Quad_Quant_.$#REF!$#REF!:$#REF!$#REF!"</definedName>
    <definedName name="Excel_BuiltIn_Print_Area_7">[12]reg_mec_fx_dm_!#REF!</definedName>
    <definedName name="EXT" localSheetId="9">#REF!</definedName>
    <definedName name="EXT">#REF!</definedName>
    <definedName name="EXT.TOTAL" localSheetId="4">[4]Diagrama!$K$34</definedName>
    <definedName name="EXT.TOTAL">[5]Diagrama!$K$34</definedName>
    <definedName name="EXTENSÃO">[9]Croqui!$A$7</definedName>
    <definedName name="EXTENSÃO1">[9]Croqui!$B$7</definedName>
    <definedName name="Extenso" localSheetId="4">[7]!Extenso</definedName>
    <definedName name="Extenso">[8]!Extenso</definedName>
    <definedName name="FAT" localSheetId="9">#REF!</definedName>
    <definedName name="FAT">#REF!</definedName>
    <definedName name="FATURAS2002" localSheetId="9" hidden="1">{#N/A,#N/A,TRUE,"Serviços"}</definedName>
    <definedName name="FATURAS2002" localSheetId="4" hidden="1">{#N/A,#N/A,TRUE,"Serviços"}</definedName>
    <definedName name="FATURAS2002" hidden="1">{#N/A,#N/A,TRUE,"Serviços"}</definedName>
    <definedName name="FCT" localSheetId="9">#REF!</definedName>
    <definedName name="FCT">#REF!</definedName>
    <definedName name="FE">"'file:///D:/Meus documentos/ANASTÁCIO/SERCEL/BR262990800.xls'#$SERVIÇOS.$#REF!$#REF!"</definedName>
    <definedName name="figura1">"Figura 1"</definedName>
    <definedName name="FIM.TRECHO" localSheetId="4">[4]Diagrama!$O$31</definedName>
    <definedName name="FIM.TRECHO">[5]Diagrama!$O$31</definedName>
    <definedName name="FM">"$#REF!.$E$31"</definedName>
    <definedName name="FMW">"$#REF!.$E$33"</definedName>
    <definedName name="FMWA">"$#REF!.$E$32"</definedName>
    <definedName name="FOLHA01" localSheetId="9" hidden="1">{#N/A,#N/A,TRUE,"Serviços"}</definedName>
    <definedName name="FOLHA01" localSheetId="4" hidden="1">{#N/A,#N/A,TRUE,"Serviços"}</definedName>
    <definedName name="FOLHA01" hidden="1">{#N/A,#N/A,TRUE,"Serviços"}</definedName>
    <definedName name="folha1" localSheetId="9" hidden="1">{#N/A,#N/A,TRUE,"Serviços"}</definedName>
    <definedName name="folha1" localSheetId="4" hidden="1">{#N/A,#N/A,TRUE,"Serviços"}</definedName>
    <definedName name="folha1" hidden="1">{#N/A,#N/A,TRUE,"Serviços"}</definedName>
    <definedName name="GP">"'file:///D:/Meus documentos/ANASTÁCIO/SERCEL/BR262990800.xls'#$SERVIÇOS.$#REF!$#REF!"</definedName>
    <definedName name="gtryfj" localSheetId="9" hidden="1">{#N/A,#N/A,TRUE,"Serviços"}</definedName>
    <definedName name="gtryfj" localSheetId="4" hidden="1">{#N/A,#N/A,TRUE,"Serviços"}</definedName>
    <definedName name="gtryfj" hidden="1">{#N/A,#N/A,TRUE,"Serviços"}</definedName>
    <definedName name="Guia">"Figura 1"</definedName>
    <definedName name="IND" localSheetId="9">#REF!</definedName>
    <definedName name="IND">#REF!</definedName>
    <definedName name="INDI22" localSheetId="9">#REF!</definedName>
    <definedName name="INDI22">#REF!</definedName>
    <definedName name="inic" localSheetId="9">#REF!</definedName>
    <definedName name="inic">#REF!</definedName>
    <definedName name="INIC.TRECHO" localSheetId="4">[4]Diagrama!$E$31</definedName>
    <definedName name="INIC.TRECHO">[5]Diagrama!$E$31</definedName>
    <definedName name="Insumos" localSheetId="9" hidden="1">#REF!</definedName>
    <definedName name="Insumos" localSheetId="4" hidden="1">#REF!</definedName>
    <definedName name="Insumos" hidden="1">#REF!</definedName>
    <definedName name="Itens" localSheetId="4" hidden="1">#REF!</definedName>
    <definedName name="Itens" hidden="1">#REF!</definedName>
    <definedName name="JANEIRO2003" localSheetId="9" hidden="1">{#N/A,#N/A,TRUE,"Serviços"}</definedName>
    <definedName name="JANEIRO2003" localSheetId="4" hidden="1">{#N/A,#N/A,TRUE,"Serviços"}</definedName>
    <definedName name="JANEIRO2003" hidden="1">{#N/A,#N/A,TRUE,"Serviços"}</definedName>
    <definedName name="JAZIDA" localSheetId="4">[4]Diagrama!$I$31</definedName>
    <definedName name="JAZIDA">[5]Diagrama!$I$31</definedName>
    <definedName name="koae" localSheetId="9">#REF!</definedName>
    <definedName name="koae">#REF!</definedName>
    <definedName name="kpavi" localSheetId="9">#REF!</definedName>
    <definedName name="kpavi">#REF!</definedName>
    <definedName name="kterra" localSheetId="9">#REF!</definedName>
    <definedName name="kterra">#REF!</definedName>
    <definedName name="LASTRO" localSheetId="4">[7]!LASTRO</definedName>
    <definedName name="LASTRO">[8]!LASTRO</definedName>
    <definedName name="LDD">"'file:///D:/Meus documentos/ANASTÁCIO/SERCEL/BR262990800.xls'#$SERVIÇOS.$#REF!$#REF!"</definedName>
    <definedName name="LDI" localSheetId="9">#REF!</definedName>
    <definedName name="LDI">#REF!</definedName>
    <definedName name="llllllll" localSheetId="4">[7]!llllllll</definedName>
    <definedName name="llllllll">[8]!llllllll</definedName>
    <definedName name="Local" localSheetId="4" hidden="1">""</definedName>
    <definedName name="LOCAL">"$#REF!.$D$5"</definedName>
    <definedName name="LOTE">[9]Croqui!$I$6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AO">[13]mo!$A$2:$C$10</definedName>
    <definedName name="MAODEOBRA">[6]mo!$A$2:$C$10</definedName>
    <definedName name="MATBET" localSheetId="9">#REF!</definedName>
    <definedName name="MATBET">#REF!</definedName>
    <definedName name="MATERIAIS">[10]mat!$A$2:$C$33</definedName>
    <definedName name="MATERIALBETUMINOSO1" localSheetId="9">#REF!</definedName>
    <definedName name="MATERIALBETUMINOSO1">#REF!</definedName>
    <definedName name="Max" localSheetId="4" hidden="1">COUNTIF(#REF!,"&lt;&gt;0")+3</definedName>
    <definedName name="Max" hidden="1">COUNTIF(#REF!,"&lt;&gt;0")+3</definedName>
    <definedName name="MBQ">[11]SERVIÇOS!$G$57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[11]SERVIÇOS!$G$60</definedName>
    <definedName name="MEIO_FIO" localSheetId="9">#REF!</definedName>
    <definedName name="MEIO_FIO">#REF!</definedName>
    <definedName name="MES">"$#REF!.$C$4"</definedName>
    <definedName name="MÊS" localSheetId="9">#REF!</definedName>
    <definedName name="MÊS">#REF!</definedName>
    <definedName name="MO" localSheetId="9" hidden="1">#REF!</definedName>
    <definedName name="MO" localSheetId="4" hidden="1">#REF!</definedName>
    <definedName name="MO" hidden="1">#REF!</definedName>
    <definedName name="mo_base">[3]Base!$U$39</definedName>
    <definedName name="mo_sub_base">'[3]Sub-base'!$U$36</definedName>
    <definedName name="mod1.ext" localSheetId="4">[7]!mod1.ext</definedName>
    <definedName name="mod1.ext">[8]!mod1.ext</definedName>
    <definedName name="Modelo" localSheetId="9" hidden="1">#REF!</definedName>
    <definedName name="Modelo" localSheetId="4" hidden="1">#REF!</definedName>
    <definedName name="Modelo" hidden="1">#REF!</definedName>
    <definedName name="módulo1.Extenso" localSheetId="4">[7]!módulo1.Extenso</definedName>
    <definedName name="módulo1.Extenso">[8]!módulo1.Extenso</definedName>
    <definedName name="MP" localSheetId="9" hidden="1">#REF!</definedName>
    <definedName name="MP" localSheetId="4" hidden="1">#REF!</definedName>
    <definedName name="MP" hidden="1">#REF!</definedName>
    <definedName name="NLEq" hidden="1">4</definedName>
    <definedName name="NLMo" hidden="1">6</definedName>
    <definedName name="NLMp" hidden="1">5</definedName>
    <definedName name="NLTr" hidden="1">3</definedName>
    <definedName name="NUMED">"$#REF!.$C$3"</definedName>
    <definedName name="oac">#REF!</definedName>
    <definedName name="oae">#REF!</definedName>
    <definedName name="Obra" hidden="1">""</definedName>
    <definedName name="ocom">#REF!</definedName>
    <definedName name="OnOff" hidden="1">"ON"</definedName>
    <definedName name="ORÇAMENTO" localSheetId="9">#REF!</definedName>
    <definedName name="Orçamento">#REF!</definedName>
    <definedName name="orçamrest" localSheetId="9" hidden="1">{#N/A,#N/A,TRUE,"Serviços"}</definedName>
    <definedName name="orçamrest" localSheetId="4" hidden="1">{#N/A,#N/A,TRUE,"Serviços"}</definedName>
    <definedName name="orçamrest" hidden="1">{#N/A,#N/A,TRUE,"Serviços"}</definedName>
    <definedName name="Ordem" localSheetId="4" hidden="1">#REF!</definedName>
    <definedName name="Ordem" hidden="1">#REF!</definedName>
    <definedName name="Origem" localSheetId="4" hidden="1">#REF!</definedName>
    <definedName name="Origem" hidden="1">#REF!</definedName>
    <definedName name="PassaExtenso">[14]!PassaExtenso</definedName>
    <definedName name="PATO" localSheetId="9">#REF!</definedName>
    <definedName name="PATO">#REF!</definedName>
    <definedName name="PAVI" localSheetId="9">#REF!</definedName>
    <definedName name="PAVI">#REF!</definedName>
    <definedName name="PCAIA">"'file:///D:/Meus documentos/ANASTÁCIO/SERCEL/BR262990800.xls'#$SERVIÇOS.$#REF!$#REF!"</definedName>
    <definedName name="pedr">#REF!</definedName>
    <definedName name="PEDREIRA" localSheetId="4">[4]Diagrama!$G$31</definedName>
    <definedName name="PEDREIRA">[5]Diagrama!$G$31</definedName>
    <definedName name="PEDREIRA.PISTA">[15]Diagrama!$E$46</definedName>
    <definedName name="PEDREIRA.USINA">[15]Diagrama!$E$45</definedName>
    <definedName name="PEN">[1]SERVIÇOS!$G$59</definedName>
    <definedName name="PERÍODO">#REF!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1" localSheetId="4" hidden="1">#REF!</definedName>
    <definedName name="Plan1" hidden="1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onte" localSheetId="4">[7]!Ponte</definedName>
    <definedName name="Ponte">[8]!Ponte</definedName>
    <definedName name="Posição" localSheetId="9" hidden="1">#REF!</definedName>
    <definedName name="Posição" localSheetId="4" hidden="1">#REF!</definedName>
    <definedName name="Posição" hidden="1">#REF!</definedName>
    <definedName name="Prd" hidden="1">#N/A</definedName>
    <definedName name="PrdAux" hidden="1">#N/A</definedName>
    <definedName name="PRDM">"'file:///D:/Meus documentos/ANASTÁCIO/SERCEL/BR262990800.xls'#$SERVIÇOS.$#REF!$#REF!"</definedName>
    <definedName name="Print_Area_MI" localSheetId="9">#REF!</definedName>
    <definedName name="Print_Area_MI">#REF!</definedName>
    <definedName name="PRINT_TITLES_MI" localSheetId="9">#REF!</definedName>
    <definedName name="PRINT_TITLES_MI">#REF!</definedName>
    <definedName name="PRMCC">"'file:///D:/Meus documentos/ANASTÁCIO/SERCEL/BR262990800.xls'#$SERVIÇOS.$#REF!$#REF!"</definedName>
    <definedName name="PROD_1" localSheetId="9" hidden="1">{#N/A,#N/A,TRUE,"Serviços"}</definedName>
    <definedName name="PROD_1" localSheetId="4" hidden="1">{#N/A,#N/A,TRUE,"Serviços"}</definedName>
    <definedName name="PROD_1" hidden="1">{#N/A,#N/A,TRUE,"Serviços"}</definedName>
    <definedName name="PRRMBF">"'file:///D:/Meus documentos/ANASTÁCIO/SERCEL/BR262990800.xls'#$SERVIÇOS.$#REF!$#REF!"</definedName>
    <definedName name="pte" localSheetId="4">[7]!pte</definedName>
    <definedName name="pte">[8]!pte</definedName>
    <definedName name="Pto" localSheetId="4">ROUND(#REF!*#REF!,2)</definedName>
    <definedName name="Pto">ROUND(#REF!*#REF!,2)</definedName>
    <definedName name="QD" localSheetId="4" hidden="1">#REF!</definedName>
    <definedName name="QD" hidden="1">#REF!</definedName>
    <definedName name="QQ_2" localSheetId="4">[7]!QQ_2</definedName>
    <definedName name="QQ_2">[8]!QQ_2</definedName>
    <definedName name="qq_2_" localSheetId="4">[7]!qq_2_</definedName>
    <definedName name="qq_2_">[8]!qq_2_</definedName>
    <definedName name="QTD" localSheetId="9" hidden="1">#REF!</definedName>
    <definedName name="QTD" localSheetId="4" hidden="1">#REF!</definedName>
    <definedName name="QTD" hidden="1">#REF!</definedName>
    <definedName name="QtEq" localSheetId="4" hidden="1">#REF!</definedName>
    <definedName name="QtEq" hidden="1">#REF!</definedName>
    <definedName name="QtMo" localSheetId="4" hidden="1">#REF!</definedName>
    <definedName name="QtMo" hidden="1">#REF!</definedName>
    <definedName name="QtMp" localSheetId="4" hidden="1">#REF!</definedName>
    <definedName name="QtMp" hidden="1">#REF!</definedName>
    <definedName name="QtTr" localSheetId="4" hidden="1">#REF!</definedName>
    <definedName name="QtTr" hidden="1">#REF!</definedName>
    <definedName name="QUANT_acumu">#REF!</definedName>
    <definedName name="rach" localSheetId="4">[7]!rach</definedName>
    <definedName name="rach">[8]!rach</definedName>
    <definedName name="Rachão" localSheetId="4">[7]!Rachão</definedName>
    <definedName name="Rachão">[8]!Rachão</definedName>
    <definedName name="RDM">"'file:///D:/Meus documentos/ANASTÁCIO/SERCEL/BR262990800.xls'#$SERVIÇOS.$#REF!$#REF!"</definedName>
    <definedName name="rea">#REF!</definedName>
    <definedName name="REAJ">"$#REF!.$F$16"</definedName>
    <definedName name="rec" localSheetId="4">[7]!rec</definedName>
    <definedName name="rec">[8]!rec</definedName>
    <definedName name="recc" localSheetId="4">[7]!recc</definedName>
    <definedName name="recc">[8]!recc</definedName>
    <definedName name="REG" localSheetId="9">#REF!</definedName>
    <definedName name="REG">#REF!</definedName>
    <definedName name="REGULA" localSheetId="9">#REF!</definedName>
    <definedName name="REGULA">#REF!</definedName>
    <definedName name="REL" localSheetId="9" hidden="1">{#N/A,#N/A,TRUE,"Serviços"}</definedName>
    <definedName name="REL" localSheetId="4" hidden="1">{#N/A,#N/A,TRUE,"Serviços"}</definedName>
    <definedName name="REL" hidden="1">{#N/A,#N/A,TRUE,"Serviços"}</definedName>
    <definedName name="Relat" localSheetId="4" hidden="1">#REF!</definedName>
    <definedName name="Relat" hidden="1">#REF!</definedName>
    <definedName name="RELATÓRIO_DOS_SERVIÇOS_EXECUTADOS">#REF!</definedName>
    <definedName name="res" localSheetId="4">[7]!res</definedName>
    <definedName name="res">[8]!res</definedName>
    <definedName name="resumo" localSheetId="9" hidden="1">{#N/A,#N/A,TRUE,"Plan1"}</definedName>
    <definedName name="RESUMO" localSheetId="4">[7]!RESUMO</definedName>
    <definedName name="resumo" hidden="1">{#N/A,#N/A,TRUE,"Plan1"}</definedName>
    <definedName name="resumou" localSheetId="9" hidden="1">{#N/A,#N/A,TRUE,"Plan1"}</definedName>
    <definedName name="resumou" localSheetId="4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9">#REF!</definedName>
    <definedName name="RODOVIA">#REF!</definedName>
    <definedName name="RP">[11]SERVIÇOS!$G$12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" localSheetId="9" hidden="1">{#N/A,#N/A,TRUE,"Serviços"}</definedName>
    <definedName name="rr" localSheetId="4" hidden="1">{#N/A,#N/A,TRUE,"Serviços"}</definedName>
    <definedName name="rr" hidden="1">{#N/A,#N/A,TRUE,"Serviços"}</definedName>
    <definedName name="RR1CW">"$#REF!.$H$14"</definedName>
    <definedName name="RR1CWA">"$#REF!.$H$13"</definedName>
    <definedName name="rrff" localSheetId="9" hidden="1">{#N/A,#N/A,TRUE,"Serviços"}</definedName>
    <definedName name="rrff" localSheetId="4" hidden="1">{#N/A,#N/A,TRUE,"Serviços"}</definedName>
    <definedName name="rrff" hidden="1">{#N/A,#N/A,TRUE,"Serviços"}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[11]SERVIÇOS!$G$37</definedName>
    <definedName name="S" localSheetId="4">[7]!S</definedName>
    <definedName name="S">[8]!S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[11]SERVIÇOS!$G$55</definedName>
    <definedName name="SE" localSheetId="9" hidden="1">#REF!</definedName>
    <definedName name="SE" localSheetId="4" hidden="1">#REF!</definedName>
    <definedName name="SE" hidden="1">#REF!</definedName>
    <definedName name="SEGMENTO" localSheetId="9">#REF!</definedName>
    <definedName name="SEGMENTO">#REF!</definedName>
    <definedName name="sencount" hidden="1">1</definedName>
    <definedName name="SERV">"$#REF!.$C$7"</definedName>
    <definedName name="Serviços" localSheetId="9">[16]Solum!$A$3:$AD$2430</definedName>
    <definedName name="Serviços">#REF!</definedName>
    <definedName name="SETEMBRO" localSheetId="9" hidden="1">{#N/A,#N/A,TRUE,"Serviços"}</definedName>
    <definedName name="SETEMBRO" localSheetId="4" hidden="1">{#N/A,#N/A,TRUE,"Serviços"}</definedName>
    <definedName name="SETEMBRO" hidden="1">{#N/A,#N/A,TRUE,"Serviços"}</definedName>
    <definedName name="SM">"$#REF!.$J$34"</definedName>
    <definedName name="SMW">"$#REF!.$J$36"</definedName>
    <definedName name="SMWA">"$#REF!.$J$35"</definedName>
    <definedName name="SomaMedAtual" localSheetId="4">SUM(IF(#REF!=#REF!,IF(#REF!=#REF!,#REF!)))</definedName>
    <definedName name="SomaMedAtual">SUM(IF(#REF!=#REF!,IF(#REF!=#REF!,#REF!)))</definedName>
    <definedName name="SRROO">[9]Croqui!$I$4</definedName>
    <definedName name="SRV" localSheetId="9" hidden="1">#REF!</definedName>
    <definedName name="SRV" localSheetId="4" hidden="1">#REF!</definedName>
    <definedName name="SRV" hidden="1">#REF!</definedName>
    <definedName name="STR">[11]ORÇAMENTO!$B$6</definedName>
    <definedName name="SUBT1" localSheetId="9">#REF!</definedName>
    <definedName name="SUBT1">#REF!</definedName>
    <definedName name="SUBTRECHO" localSheetId="9">#REF!</definedName>
    <definedName name="SUBTRECHO">#REF!</definedName>
    <definedName name="SUBTRECHO1">[9]Croqui!$B$6</definedName>
    <definedName name="TABELA">"$#REF!.$B$32"</definedName>
    <definedName name="taxa_cap">#REF!</definedName>
    <definedName name="TB">[11]SERVIÇOS!$G$11</definedName>
    <definedName name="TBW">"$#REF!.$E$33"</definedName>
    <definedName name="TBWA">"$#REF!.$E$32"</definedName>
    <definedName name="TCB">"$#REF!.$G$31"</definedName>
    <definedName name="TCB10M3" localSheetId="9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>#REF!</definedName>
    <definedName name="TESM">"$#REF!.$Q$34"</definedName>
    <definedName name="TESTE" localSheetId="4">[7]!TESTE</definedName>
    <definedName name="TESTE">[8]!TESTE</definedName>
    <definedName name="TETB">"$#REF!.$H$30"</definedName>
    <definedName name="TETB97">"$#REF!.$H$70"</definedName>
    <definedName name="_xlnm.Print_Titles" localSheetId="8">COMPOSIÇÕES!$1:$2</definedName>
    <definedName name="_xlnm.Print_Titles" localSheetId="6">'Nota Serviço'!$1:$2</definedName>
    <definedName name="_xlnm.Print_Titles" localSheetId="1">'ORÇAMENTO  (PROJETO)'!$1:$10</definedName>
    <definedName name="_xlnm.Print_Titles" localSheetId="0">'ORÇAMENTO (ESTIMADO) '!$1:$10</definedName>
    <definedName name="_xlnm.Print_Titles" localSheetId="5">QUANTITATIVOS!$3:$4</definedName>
    <definedName name="_xlnm.Print_Titles" localSheetId="7">Volume!$1:$2</definedName>
    <definedName name="TLC4T" localSheetId="9">#REF!</definedName>
    <definedName name="TLC4T">#REF!</definedName>
    <definedName name="TLMR" localSheetId="9">#REF!</definedName>
    <definedName name="TLMR">#REF!</definedName>
    <definedName name="TOT" localSheetId="4" hidden="1">#REF!</definedName>
    <definedName name="TOT" hidden="1">#REF!</definedName>
    <definedName name="TR">[11]ORÇAMENTO!$B$5</definedName>
    <definedName name="TRABALHO" localSheetId="9">#REF!</definedName>
    <definedName name="TRABALHO">#REF!</definedName>
    <definedName name="transportes" localSheetId="9">#REF!</definedName>
    <definedName name="transportes">#REF!</definedName>
    <definedName name="TRCAP20">"$#REF!.$I$27"</definedName>
    <definedName name="TRCM30">"$#REF!.$I$28"</definedName>
    <definedName name="TRECHO" localSheetId="9">#REF!</definedName>
    <definedName name="TRECHO">#REF!</definedName>
    <definedName name="TRECHO1">[9]Croqui!$B$5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TYUIO" localSheetId="9" hidden="1">{#N/A,#N/A,TRUE,"Serviços"}</definedName>
    <definedName name="TYUIO" localSheetId="4" hidden="1">{#N/A,#N/A,TRUE,"Serviços"}</definedName>
    <definedName name="TYUIO" hidden="1">{#N/A,#N/A,TRUE,"Serviços"}</definedName>
    <definedName name="un" hidden="1">#N/A</definedName>
    <definedName name="UnidAux" hidden="1">#N/A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w" localSheetId="9" hidden="1">{#N/A,#N/A,TRUE,"Plan1"}</definedName>
    <definedName name="w" hidden="1">{#N/A,#N/A,TRUE,"Plan1"}</definedName>
    <definedName name="wew" localSheetId="4">[7]!wew</definedName>
    <definedName name="wew">[8]!wew</definedName>
    <definedName name="WEWRWR" localSheetId="4">[7]!WEWRWR</definedName>
    <definedName name="WEWRWR">[8]!WEWRWR</definedName>
    <definedName name="wrn.relext." localSheetId="9" hidden="1">{#N/A,#N/A,TRUE,"Plan1"}</definedName>
    <definedName name="wrn.relext." localSheetId="4" hidden="1">{#N/A,#N/A,TRUE,"Plan1"}</definedName>
    <definedName name="wrn.relext." hidden="1">{#N/A,#N/A,TRUE,"Plan1"}</definedName>
    <definedName name="wrn.Tipo." localSheetId="9" hidden="1">{#N/A,#N/A,TRUE,"Serviços"}</definedName>
    <definedName name="wrn.Tipo." localSheetId="4" hidden="1">{#N/A,#N/A,TRUE,"Serviços"}</definedName>
    <definedName name="wrn.Tipo." hidden="1">{#N/A,#N/A,TRUE,"Serviços"}</definedName>
    <definedName name="ww">[12]reg_mec_fx_dm_!#REF!</definedName>
    <definedName name="X">[17]Orçamento!$A$13:$D$34</definedName>
    <definedName name="xx" localSheetId="4">[7]!xx</definedName>
    <definedName name="xx">[8]!xx</definedName>
    <definedName name="XXX" localSheetId="4">[7]!XXX</definedName>
    <definedName name="XXX">[8]!XXX</definedName>
  </definedNames>
  <calcPr calcId="125725"/>
</workbook>
</file>

<file path=xl/calcChain.xml><?xml version="1.0" encoding="utf-8"?>
<calcChain xmlns="http://schemas.openxmlformats.org/spreadsheetml/2006/main">
  <c r="F12" i="7"/>
  <c r="H17"/>
  <c r="H16"/>
  <c r="D21" i="15"/>
  <c r="C19"/>
  <c r="H15" s="1"/>
  <c r="C13"/>
  <c r="C10"/>
  <c r="C22" l="1"/>
  <c r="D22"/>
  <c r="D34" i="11"/>
  <c r="G53" i="7" s="1"/>
  <c r="H53" s="1"/>
  <c r="F24"/>
  <c r="G34"/>
  <c r="I34" s="1"/>
  <c r="G33"/>
  <c r="I33" s="1"/>
  <c r="G32"/>
  <c r="I32" s="1"/>
  <c r="G31"/>
  <c r="I31" s="1"/>
  <c r="G30"/>
  <c r="I30" s="1"/>
  <c r="G52"/>
  <c r="H52" s="1"/>
  <c r="G51"/>
  <c r="H51" s="1"/>
  <c r="I38"/>
  <c r="I39"/>
  <c r="I40"/>
  <c r="I41"/>
  <c r="I42"/>
  <c r="I43"/>
  <c r="I44"/>
  <c r="I45"/>
  <c r="I37"/>
  <c r="I24"/>
  <c r="C5" i="14"/>
  <c r="C6"/>
  <c r="D6"/>
  <c r="G6" s="1"/>
  <c r="D5"/>
  <c r="G5" s="1"/>
  <c r="D4"/>
  <c r="G4" s="1"/>
  <c r="D3"/>
  <c r="D2"/>
  <c r="G2" s="1"/>
  <c r="C4"/>
  <c r="C3"/>
  <c r="C2"/>
  <c r="H47" i="8"/>
  <c r="H36"/>
  <c r="H27"/>
  <c r="H23"/>
  <c r="H22" s="1"/>
  <c r="G6" i="9" l="1"/>
  <c r="D6" i="8"/>
  <c r="G6" i="7"/>
  <c r="H6" i="14"/>
  <c r="G18" i="7"/>
  <c r="H5" i="14"/>
  <c r="J6"/>
  <c r="F48" i="7" s="1"/>
  <c r="D7" i="14"/>
  <c r="I36" i="7"/>
  <c r="H2" i="14"/>
  <c r="H4"/>
  <c r="G3"/>
  <c r="H3" s="1"/>
  <c r="H49" i="7" l="1"/>
  <c r="H38"/>
  <c r="J38" s="1"/>
  <c r="H42"/>
  <c r="J42" s="1"/>
  <c r="H37"/>
  <c r="J37" s="1"/>
  <c r="H13"/>
  <c r="H12"/>
  <c r="H48"/>
  <c r="H41"/>
  <c r="J41" s="1"/>
  <c r="H45"/>
  <c r="J45" s="1"/>
  <c r="H24"/>
  <c r="J24" s="1"/>
  <c r="H20"/>
  <c r="H55"/>
  <c r="H40"/>
  <c r="J40" s="1"/>
  <c r="H44"/>
  <c r="J44" s="1"/>
  <c r="H28"/>
  <c r="H15"/>
  <c r="H50"/>
  <c r="H39"/>
  <c r="J39" s="1"/>
  <c r="H43"/>
  <c r="J43" s="1"/>
  <c r="H29"/>
  <c r="H14"/>
  <c r="H34"/>
  <c r="J34" s="1"/>
  <c r="H31"/>
  <c r="J31" s="1"/>
  <c r="H33"/>
  <c r="J33" s="1"/>
  <c r="H30"/>
  <c r="J30" s="1"/>
  <c r="H32"/>
  <c r="J32" s="1"/>
  <c r="F49"/>
  <c r="I48"/>
  <c r="J48"/>
  <c r="F51"/>
  <c r="F53" s="1"/>
  <c r="H7" i="14"/>
  <c r="F29" i="7" s="1"/>
  <c r="G7" i="14"/>
  <c r="F28" i="7" s="1"/>
  <c r="F52" l="1"/>
  <c r="F55"/>
  <c r="J55" s="1"/>
  <c r="J36"/>
  <c r="I53"/>
  <c r="J53"/>
  <c r="J51"/>
  <c r="I51"/>
  <c r="J49"/>
  <c r="I49"/>
  <c r="J29"/>
  <c r="I29"/>
  <c r="I28"/>
  <c r="J28"/>
  <c r="F50"/>
  <c r="I55" l="1"/>
  <c r="I27"/>
  <c r="I52"/>
  <c r="J52"/>
  <c r="J50"/>
  <c r="I50"/>
  <c r="F54"/>
  <c r="J27"/>
  <c r="E28" i="8" l="1"/>
  <c r="D28"/>
  <c r="C28"/>
  <c r="E27"/>
  <c r="D27"/>
  <c r="C27"/>
  <c r="D30" l="1"/>
  <c r="E30" s="1"/>
  <c r="G54" i="7"/>
  <c r="A10" i="8"/>
  <c r="F3" i="9"/>
  <c r="C3" i="8" s="1"/>
  <c r="B11" i="9"/>
  <c r="B10" i="8" s="1"/>
  <c r="D25" i="7"/>
  <c r="F8" i="13"/>
  <c r="H8" s="1"/>
  <c r="H6"/>
  <c r="H7"/>
  <c r="H9"/>
  <c r="H10"/>
  <c r="D20"/>
  <c r="H54" i="7" l="1"/>
  <c r="J54" s="1"/>
  <c r="J47" s="1"/>
  <c r="I54"/>
  <c r="I47" s="1"/>
  <c r="I5" i="13"/>
  <c r="G25" i="7" s="1"/>
  <c r="H25" s="1"/>
  <c r="F25" l="1"/>
  <c r="J12" l="1"/>
  <c r="I12"/>
  <c r="J25"/>
  <c r="J23" s="1"/>
  <c r="J22" s="1"/>
  <c r="I25"/>
  <c r="I23" s="1"/>
  <c r="I22" s="1"/>
  <c r="F13"/>
  <c r="G19"/>
  <c r="J13" l="1"/>
  <c r="I13"/>
  <c r="H19"/>
  <c r="H18"/>
  <c r="C11" i="9"/>
  <c r="I11" s="1"/>
  <c r="C10" i="8"/>
  <c r="C83" i="11"/>
  <c r="I74"/>
  <c r="C77"/>
  <c r="C69"/>
  <c r="C66"/>
  <c r="E11" i="9" l="1"/>
  <c r="G11"/>
  <c r="J63" i="11"/>
  <c r="C75" s="1"/>
  <c r="J66"/>
  <c r="I72" s="1"/>
  <c r="B73" l="1"/>
  <c r="T10"/>
  <c r="T11"/>
  <c r="U10" l="1"/>
  <c r="V10" s="1"/>
  <c r="U11"/>
  <c r="V11" s="1"/>
  <c r="E33" i="4" l="1"/>
  <c r="E25"/>
  <c r="E17"/>
  <c r="G12"/>
  <c r="I12" s="1"/>
  <c r="E12"/>
  <c r="E7"/>
  <c r="L12" l="1"/>
  <c r="M12"/>
  <c r="F14" i="7"/>
  <c r="F16" s="1"/>
  <c r="F28" i="8"/>
  <c r="H12"/>
  <c r="J14" i="7" l="1"/>
  <c r="I14"/>
  <c r="F15"/>
  <c r="F20" l="1"/>
  <c r="F17"/>
  <c r="J16"/>
  <c r="I16"/>
  <c r="J15"/>
  <c r="I15"/>
  <c r="B6" i="9"/>
  <c r="B6" i="8"/>
  <c r="C6"/>
  <c r="J20" i="7" l="1"/>
  <c r="I20"/>
  <c r="J17"/>
  <c r="I17"/>
  <c r="D15" i="8"/>
  <c r="H17" i="9" s="1"/>
  <c r="D4" i="8"/>
  <c r="G4" i="9" s="1"/>
  <c r="D3" i="8"/>
  <c r="G3" i="9" s="1"/>
  <c r="B4" i="8"/>
  <c r="B4" i="9" s="1"/>
  <c r="B3" i="8"/>
  <c r="B3" i="9" s="1"/>
  <c r="B9" i="8"/>
  <c r="B10" i="9" s="1"/>
  <c r="F6"/>
  <c r="A9" i="8"/>
  <c r="A10" i="9" s="1"/>
  <c r="C4" i="8"/>
  <c r="F4" i="9" s="1"/>
  <c r="E32" i="4" l="1"/>
  <c r="E34" s="1"/>
  <c r="E24"/>
  <c r="E16"/>
  <c r="E11"/>
  <c r="G11" s="1"/>
  <c r="I11" s="1"/>
  <c r="L11" s="1"/>
  <c r="L13" s="1"/>
  <c r="E6"/>
  <c r="E8" s="1"/>
  <c r="I168" i="6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4"/>
  <c r="J4" s="1"/>
  <c r="J6" s="1"/>
  <c r="J8" s="1"/>
  <c r="J10" s="1"/>
  <c r="J12" s="1"/>
  <c r="J14" s="1"/>
  <c r="J16" s="1"/>
  <c r="J18" s="1"/>
  <c r="J20" s="1"/>
  <c r="J22" s="1"/>
  <c r="J24" s="1"/>
  <c r="J26" s="1"/>
  <c r="J28" s="1"/>
  <c r="J30" s="1"/>
  <c r="J32" s="1"/>
  <c r="J34" s="1"/>
  <c r="J36" s="1"/>
  <c r="J38" s="1"/>
  <c r="J40" s="1"/>
  <c r="J42" s="1"/>
  <c r="J44" s="1"/>
  <c r="J46" s="1"/>
  <c r="J48" s="1"/>
  <c r="J50" s="1"/>
  <c r="J52" s="1"/>
  <c r="J54" s="1"/>
  <c r="J56" s="1"/>
  <c r="J58" s="1"/>
  <c r="J60" s="1"/>
  <c r="J62" s="1"/>
  <c r="J64" s="1"/>
  <c r="J66" s="1"/>
  <c r="J68" s="1"/>
  <c r="J70" s="1"/>
  <c r="J72" s="1"/>
  <c r="J74" s="1"/>
  <c r="J76" s="1"/>
  <c r="J78" s="1"/>
  <c r="J80" s="1"/>
  <c r="J82" s="1"/>
  <c r="J84" s="1"/>
  <c r="J86" s="1"/>
  <c r="J88" s="1"/>
  <c r="J90" s="1"/>
  <c r="J92" s="1"/>
  <c r="J94" s="1"/>
  <c r="J96" s="1"/>
  <c r="J98" s="1"/>
  <c r="J100" s="1"/>
  <c r="J102" s="1"/>
  <c r="J104" s="1"/>
  <c r="J106" s="1"/>
  <c r="J108" s="1"/>
  <c r="J110" s="1"/>
  <c r="J112" s="1"/>
  <c r="J114" s="1"/>
  <c r="J116" s="1"/>
  <c r="J118" s="1"/>
  <c r="J120" s="1"/>
  <c r="J122" s="1"/>
  <c r="J124" s="1"/>
  <c r="J126" s="1"/>
  <c r="J128" s="1"/>
  <c r="J130" s="1"/>
  <c r="J132" s="1"/>
  <c r="J134" s="1"/>
  <c r="J136" s="1"/>
  <c r="J138" s="1"/>
  <c r="J140" s="1"/>
  <c r="J142" s="1"/>
  <c r="J144" s="1"/>
  <c r="J146" s="1"/>
  <c r="J148" s="1"/>
  <c r="J150" s="1"/>
  <c r="J152" s="1"/>
  <c r="J154" s="1"/>
  <c r="J156" s="1"/>
  <c r="J158" s="1"/>
  <c r="J160" s="1"/>
  <c r="J162" s="1"/>
  <c r="J164" s="1"/>
  <c r="J166" s="1"/>
  <c r="J168" s="1"/>
  <c r="F173" s="1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H4" s="1"/>
  <c r="H6" s="1"/>
  <c r="H8" s="1"/>
  <c r="H10" s="1"/>
  <c r="H12" s="1"/>
  <c r="H14" s="1"/>
  <c r="H16" s="1"/>
  <c r="H18" s="1"/>
  <c r="H20" s="1"/>
  <c r="H22" s="1"/>
  <c r="H24" s="1"/>
  <c r="H26" s="1"/>
  <c r="H28" s="1"/>
  <c r="H30" s="1"/>
  <c r="H32" s="1"/>
  <c r="H34" s="1"/>
  <c r="H36" s="1"/>
  <c r="H38" s="1"/>
  <c r="H40" s="1"/>
  <c r="H42" s="1"/>
  <c r="H44" s="1"/>
  <c r="H46" s="1"/>
  <c r="H48" s="1"/>
  <c r="H50" s="1"/>
  <c r="H52" s="1"/>
  <c r="H54" s="1"/>
  <c r="H56" s="1"/>
  <c r="H58" s="1"/>
  <c r="H60" s="1"/>
  <c r="H62" s="1"/>
  <c r="H64" s="1"/>
  <c r="H66" s="1"/>
  <c r="H68" s="1"/>
  <c r="H70" s="1"/>
  <c r="H72" s="1"/>
  <c r="H74" s="1"/>
  <c r="H76" s="1"/>
  <c r="H78" s="1"/>
  <c r="H80" s="1"/>
  <c r="H82" s="1"/>
  <c r="H84" s="1"/>
  <c r="H86" s="1"/>
  <c r="H88" s="1"/>
  <c r="H90" s="1"/>
  <c r="H92" s="1"/>
  <c r="H94" s="1"/>
  <c r="H96" s="1"/>
  <c r="H98" s="1"/>
  <c r="H100" s="1"/>
  <c r="H102" s="1"/>
  <c r="H104" s="1"/>
  <c r="H106" s="1"/>
  <c r="H108" s="1"/>
  <c r="H110" s="1"/>
  <c r="H112" s="1"/>
  <c r="H114" s="1"/>
  <c r="H116" s="1"/>
  <c r="H118" s="1"/>
  <c r="H120" s="1"/>
  <c r="H122" s="1"/>
  <c r="H124" s="1"/>
  <c r="H126" s="1"/>
  <c r="H128" s="1"/>
  <c r="H130" s="1"/>
  <c r="H132" s="1"/>
  <c r="H134" s="1"/>
  <c r="H136" s="1"/>
  <c r="H138" s="1"/>
  <c r="H140" s="1"/>
  <c r="H142" s="1"/>
  <c r="H144" s="1"/>
  <c r="H146" s="1"/>
  <c r="H148" s="1"/>
  <c r="H150" s="1"/>
  <c r="H152" s="1"/>
  <c r="H154" s="1"/>
  <c r="H156" s="1"/>
  <c r="H158" s="1"/>
  <c r="H160" s="1"/>
  <c r="H162" s="1"/>
  <c r="H164" s="1"/>
  <c r="H166" s="1"/>
  <c r="H168" s="1"/>
  <c r="F172" s="1"/>
  <c r="E26" i="4" l="1"/>
  <c r="B29" s="1"/>
  <c r="F19" i="7" s="1"/>
  <c r="B21" i="4"/>
  <c r="F18" i="7" s="1"/>
  <c r="J18" s="1"/>
  <c r="E18" i="4"/>
  <c r="I18" i="7"/>
  <c r="I24" i="4"/>
  <c r="L24" s="1"/>
  <c r="L26" s="1"/>
  <c r="I32"/>
  <c r="G13"/>
  <c r="M11"/>
  <c r="M13" s="1"/>
  <c r="E7" i="6"/>
  <c r="E9" s="1"/>
  <c r="E11" s="1"/>
  <c r="E13" s="1"/>
  <c r="E15" s="1"/>
  <c r="E17" s="1"/>
  <c r="E19" s="1"/>
  <c r="E21" s="1"/>
  <c r="E23" s="1"/>
  <c r="E25" s="1"/>
  <c r="E27" s="1"/>
  <c r="E29" s="1"/>
  <c r="E31" s="1"/>
  <c r="E33" s="1"/>
  <c r="E35" s="1"/>
  <c r="E37" s="1"/>
  <c r="E39" s="1"/>
  <c r="E41" s="1"/>
  <c r="E43" s="1"/>
  <c r="E45" s="1"/>
  <c r="E47" s="1"/>
  <c r="E49" s="1"/>
  <c r="E51" s="1"/>
  <c r="E53" s="1"/>
  <c r="E55" s="1"/>
  <c r="E57" s="1"/>
  <c r="E59" s="1"/>
  <c r="E61" s="1"/>
  <c r="E63" s="1"/>
  <c r="E65" s="1"/>
  <c r="E67" s="1"/>
  <c r="E69" s="1"/>
  <c r="E71" s="1"/>
  <c r="E73" s="1"/>
  <c r="E75" s="1"/>
  <c r="E77" s="1"/>
  <c r="E79" s="1"/>
  <c r="E81" s="1"/>
  <c r="E83" s="1"/>
  <c r="E85" s="1"/>
  <c r="E87" s="1"/>
  <c r="E89" s="1"/>
  <c r="E91" s="1"/>
  <c r="E93" s="1"/>
  <c r="E95" s="1"/>
  <c r="E97" s="1"/>
  <c r="E99" s="1"/>
  <c r="E101" s="1"/>
  <c r="E103" s="1"/>
  <c r="E105" s="1"/>
  <c r="E107" s="1"/>
  <c r="E109" s="1"/>
  <c r="E111" s="1"/>
  <c r="E113" s="1"/>
  <c r="E115" s="1"/>
  <c r="E117" s="1"/>
  <c r="E119" s="1"/>
  <c r="E121" s="1"/>
  <c r="E123" s="1"/>
  <c r="E125" s="1"/>
  <c r="E127" s="1"/>
  <c r="E129" s="1"/>
  <c r="E131" s="1"/>
  <c r="E133" s="1"/>
  <c r="E135" s="1"/>
  <c r="E137" s="1"/>
  <c r="E139" s="1"/>
  <c r="E141" s="1"/>
  <c r="E143" s="1"/>
  <c r="E145" s="1"/>
  <c r="E147" s="1"/>
  <c r="E149" s="1"/>
  <c r="E151" s="1"/>
  <c r="E153" s="1"/>
  <c r="E155" s="1"/>
  <c r="E157" s="1"/>
  <c r="E159" s="1"/>
  <c r="E161" s="1"/>
  <c r="E163" s="1"/>
  <c r="E165" s="1"/>
  <c r="E167" s="1"/>
  <c r="E169" s="1"/>
  <c r="E5"/>
  <c r="E3"/>
  <c r="C3"/>
  <c r="C5" s="1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C69" s="1"/>
  <c r="C71" s="1"/>
  <c r="C73" s="1"/>
  <c r="C75" s="1"/>
  <c r="C77" s="1"/>
  <c r="C79" s="1"/>
  <c r="C81" s="1"/>
  <c r="C83" s="1"/>
  <c r="C85" s="1"/>
  <c r="C87" s="1"/>
  <c r="C89" s="1"/>
  <c r="C91" s="1"/>
  <c r="C93" s="1"/>
  <c r="C95" s="1"/>
  <c r="C97" s="1"/>
  <c r="C99" s="1"/>
  <c r="C101" s="1"/>
  <c r="C103" s="1"/>
  <c r="C105" s="1"/>
  <c r="C107" s="1"/>
  <c r="C109" s="1"/>
  <c r="C111" s="1"/>
  <c r="C113" s="1"/>
  <c r="C115" s="1"/>
  <c r="C117" s="1"/>
  <c r="C119" s="1"/>
  <c r="C121" s="1"/>
  <c r="C123" s="1"/>
  <c r="C125" s="1"/>
  <c r="C127" s="1"/>
  <c r="C129" s="1"/>
  <c r="C131" s="1"/>
  <c r="C133" s="1"/>
  <c r="C135" s="1"/>
  <c r="C137" s="1"/>
  <c r="C139" s="1"/>
  <c r="C141" s="1"/>
  <c r="C143" s="1"/>
  <c r="C145" s="1"/>
  <c r="C147" s="1"/>
  <c r="C149" s="1"/>
  <c r="C151" s="1"/>
  <c r="C153" s="1"/>
  <c r="C155" s="1"/>
  <c r="C157" s="1"/>
  <c r="C159" s="1"/>
  <c r="C161" s="1"/>
  <c r="C163" s="1"/>
  <c r="C165" s="1"/>
  <c r="C167" s="1"/>
  <c r="C169" s="1"/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3"/>
  <c r="J19" i="7" l="1"/>
  <c r="J11" s="1"/>
  <c r="J58" s="1"/>
  <c r="I19"/>
  <c r="M24" i="4"/>
  <c r="M26" s="1"/>
  <c r="L32"/>
  <c r="L34" s="1"/>
  <c r="M32"/>
  <c r="M34" s="1"/>
  <c r="G22" i="3"/>
  <c r="G24"/>
  <c r="G23"/>
  <c r="G21"/>
  <c r="G20"/>
  <c r="G19"/>
  <c r="G18"/>
  <c r="G17"/>
  <c r="G16"/>
  <c r="F16"/>
  <c r="G15"/>
  <c r="F15"/>
  <c r="F24" s="1"/>
  <c r="G14"/>
  <c r="F14"/>
  <c r="G13"/>
  <c r="G12"/>
  <c r="F12"/>
  <c r="C9" i="8" l="1"/>
  <c r="C10" i="9"/>
  <c r="I11" i="7"/>
  <c r="F23" i="3"/>
  <c r="H14"/>
  <c r="H16"/>
  <c r="H15"/>
  <c r="H12"/>
  <c r="F17"/>
  <c r="F13"/>
  <c r="F18"/>
  <c r="H23"/>
  <c r="H24"/>
  <c r="C13" i="8" l="1"/>
  <c r="D10" s="1"/>
  <c r="I58" i="7"/>
  <c r="F21" i="3"/>
  <c r="H21" s="1"/>
  <c r="F22"/>
  <c r="H22" s="1"/>
  <c r="H18"/>
  <c r="F20"/>
  <c r="H20" s="1"/>
  <c r="H17"/>
  <c r="F19"/>
  <c r="H19" s="1"/>
  <c r="H13"/>
  <c r="K12" i="7" l="1"/>
  <c r="K49"/>
  <c r="K53"/>
  <c r="K37"/>
  <c r="K41"/>
  <c r="K45"/>
  <c r="K34"/>
  <c r="K48"/>
  <c r="K52"/>
  <c r="K47"/>
  <c r="K40"/>
  <c r="K44"/>
  <c r="K29"/>
  <c r="K33"/>
  <c r="K51"/>
  <c r="K55"/>
  <c r="K39"/>
  <c r="K43"/>
  <c r="K28"/>
  <c r="K32"/>
  <c r="K50"/>
  <c r="K54"/>
  <c r="K38"/>
  <c r="K42"/>
  <c r="K36"/>
  <c r="K31"/>
  <c r="K30"/>
  <c r="K27"/>
  <c r="K22"/>
  <c r="K25"/>
  <c r="K24"/>
  <c r="H11" i="3"/>
  <c r="H26" l="1"/>
  <c r="I26" s="1"/>
  <c r="I22" l="1"/>
  <c r="I16"/>
  <c r="I12"/>
  <c r="I15"/>
  <c r="I14"/>
  <c r="I24"/>
  <c r="I23"/>
  <c r="I19"/>
  <c r="I18"/>
  <c r="I20"/>
  <c r="I13"/>
  <c r="I21"/>
  <c r="I17"/>
  <c r="I11"/>
  <c r="K17" i="7" l="1"/>
  <c r="K14"/>
  <c r="K11"/>
  <c r="K13"/>
  <c r="K15"/>
  <c r="K19"/>
  <c r="K16"/>
  <c r="K58"/>
  <c r="K20"/>
  <c r="K18"/>
  <c r="D9" i="8"/>
  <c r="I10" i="9"/>
  <c r="G10" l="1"/>
  <c r="G13" s="1"/>
  <c r="C13"/>
  <c r="D10" s="1"/>
  <c r="E10"/>
  <c r="D13" i="8"/>
  <c r="E13" i="9" l="1"/>
  <c r="F13" s="1"/>
  <c r="I13"/>
  <c r="J13" s="1"/>
  <c r="D13"/>
  <c r="D11"/>
  <c r="H13"/>
  <c r="E14" l="1"/>
  <c r="F14" s="1"/>
  <c r="G14" l="1"/>
  <c r="I14" s="1"/>
  <c r="J14" s="1"/>
  <c r="H14" l="1"/>
</calcChain>
</file>

<file path=xl/comments1.xml><?xml version="1.0" encoding="utf-8"?>
<comments xmlns="http://schemas.openxmlformats.org/spreadsheetml/2006/main">
  <authors>
    <author>Cesar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Rua Primavera do Leste (11,00m de caixa / 2,00m de passeio)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Demais ruas ((14,00m de caixa / 2,00m de passeio);
Rua Mauro Weiss até a estaca 6;
Rua Paulo R. dos Reis não considerada.</t>
        </r>
      </text>
    </comment>
  </commentList>
</comments>
</file>

<file path=xl/sharedStrings.xml><?xml version="1.0" encoding="utf-8"?>
<sst xmlns="http://schemas.openxmlformats.org/spreadsheetml/2006/main" count="571" uniqueCount="327">
  <si>
    <t>PLANILHA ORÇAMENTÁRIA</t>
  </si>
  <si>
    <t>Obra:</t>
  </si>
  <si>
    <t>Local:</t>
  </si>
  <si>
    <t>Município</t>
  </si>
  <si>
    <t>PRIMAVERA DO LESTE - MT</t>
  </si>
  <si>
    <t>B.D.I.:</t>
  </si>
  <si>
    <t>ITEM</t>
  </si>
  <si>
    <t>DESCRIÇÃO</t>
  </si>
  <si>
    <t>UND</t>
  </si>
  <si>
    <t>QUANTIDADE</t>
  </si>
  <si>
    <t>PREÇO UNITÁRIO</t>
  </si>
  <si>
    <t>VALOR                  TOTAL</t>
  </si>
  <si>
    <t>(%)</t>
  </si>
  <si>
    <t>1.1</t>
  </si>
  <si>
    <t>m³</t>
  </si>
  <si>
    <t>1.2</t>
  </si>
  <si>
    <t>1.3</t>
  </si>
  <si>
    <t>1.4</t>
  </si>
  <si>
    <t>1.5</t>
  </si>
  <si>
    <t>1.6</t>
  </si>
  <si>
    <t>1.7</t>
  </si>
  <si>
    <t>1.8</t>
  </si>
  <si>
    <t>1.9</t>
  </si>
  <si>
    <t>2 S 02 300 00</t>
  </si>
  <si>
    <t>Imprimação</t>
  </si>
  <si>
    <t>m²</t>
  </si>
  <si>
    <t>2 S 09 002 91</t>
  </si>
  <si>
    <t>SETPU</t>
  </si>
  <si>
    <t>ton</t>
  </si>
  <si>
    <t>-</t>
  </si>
  <si>
    <t>2 S 02 110 00</t>
  </si>
  <si>
    <t>Regularização do subleito</t>
  </si>
  <si>
    <t>2 S 02 200 01</t>
  </si>
  <si>
    <t>2 S 02 501 52</t>
  </si>
  <si>
    <t>3 S 02 500 51</t>
  </si>
  <si>
    <t>Capa selante com areia AC</t>
  </si>
  <si>
    <t>2 S 09 001 05</t>
  </si>
  <si>
    <t>M103</t>
  </si>
  <si>
    <t>M105</t>
  </si>
  <si>
    <t>TOTAL GERAL DO ORÇAMENTO</t>
  </si>
  <si>
    <t>PAVIMENTAÇÃO URBANA</t>
  </si>
  <si>
    <t>Extensão Aprox.:</t>
  </si>
  <si>
    <t>Largura Aprox.:</t>
  </si>
  <si>
    <r>
      <t xml:space="preserve">a) DNIT / Sicro II-MT / Set-2012 </t>
    </r>
    <r>
      <rPr>
        <b/>
        <i/>
        <vertAlign val="superscript"/>
        <sz val="11"/>
        <rFont val="Arial"/>
        <family val="2"/>
      </rPr>
      <t>(1)</t>
    </r>
  </si>
  <si>
    <r>
      <t xml:space="preserve">b) SETPU-MT / Set-2012 </t>
    </r>
    <r>
      <rPr>
        <b/>
        <i/>
        <vertAlign val="superscript"/>
        <sz val="11"/>
        <rFont val="Arial"/>
        <family val="2"/>
      </rPr>
      <t>(2)</t>
    </r>
  </si>
  <si>
    <t>(2) - Secretaria de Estado de Transporte e Pavimentação Urbana -MT</t>
  </si>
  <si>
    <t>(1) - Departamento Nacional de Infra-Estrutura  de Transportes</t>
  </si>
  <si>
    <t>COMPOSIÇÃO DE         PREÇOS</t>
  </si>
  <si>
    <t>PAVIMENTAÇÃO</t>
  </si>
  <si>
    <t>PREÇO UNITÁRIO S/ BDI</t>
  </si>
  <si>
    <t>Tratamento superficial duplo c/ banho diluído BC</t>
  </si>
  <si>
    <t>Asfalto diluído CM-30 (aquisição)</t>
  </si>
  <si>
    <t>Emulsão asfáltica RR-2C (aquisição)</t>
  </si>
  <si>
    <r>
      <t xml:space="preserve">ton </t>
    </r>
    <r>
      <rPr>
        <sz val="8"/>
        <rFont val="Arial"/>
        <family val="2"/>
      </rPr>
      <t>x</t>
    </r>
    <r>
      <rPr>
        <sz val="10"/>
        <rFont val="Arial"/>
        <family val="2"/>
      </rPr>
      <t xml:space="preserve"> km</t>
    </r>
  </si>
  <si>
    <t>2 S 09 001 90</t>
  </si>
  <si>
    <t>Transporte asfalto diluído CM-30 (Cba-Pva)</t>
  </si>
  <si>
    <t>Transporte emulsão asfáltica RR-2C (Cba-Pva)</t>
  </si>
  <si>
    <t>(R$)</t>
  </si>
  <si>
    <t>VIA INTERNA DE ACESSO A DIVERSAS CHÁCARAS LINDEIRAS À RODOVIA MT-130, SAÍDA PARA</t>
  </si>
  <si>
    <t>PARANATINGA, LADO DIREITO (Coord. Est.00 = 15º30'21,37" S / 54º16'36,22" O)</t>
  </si>
  <si>
    <t>2 S 09 002 05</t>
  </si>
  <si>
    <t>Transporte local em rodovovia não pavimentada (material p/ base) - DMT aprox. = 3,15km</t>
  </si>
  <si>
    <t>Transporte local em rodovia pavimentada (material p/ base) - DMT aprox. = 10,0km</t>
  </si>
  <si>
    <t>1.11</t>
  </si>
  <si>
    <t>1.13</t>
  </si>
  <si>
    <t>1.15</t>
  </si>
  <si>
    <t>1.17</t>
  </si>
  <si>
    <t>Transporte comercial caminhão basc. 10m3 rodov. Pav. (brita para TSD) - DMT aprox. = 23,3km</t>
  </si>
  <si>
    <t>Transporte comercial caminhão basc. 10m3 rodov. não pav. (brita para TSD) - DMT aprox. = 7,50km</t>
  </si>
  <si>
    <t>Base solo estabilizado granul. s/ mistura (esp.=20,0 cm)</t>
  </si>
  <si>
    <t>Fonte de Preços:</t>
  </si>
  <si>
    <t>EST. INICIAL</t>
  </si>
  <si>
    <t>EST. FINAL</t>
  </si>
  <si>
    <t>Estaca</t>
  </si>
  <si>
    <t>82+12,5m</t>
  </si>
  <si>
    <t>EIXO</t>
  </si>
  <si>
    <t>BORDO ESQUERDO</t>
  </si>
  <si>
    <t>Distância</t>
  </si>
  <si>
    <t>%</t>
  </si>
  <si>
    <t>A. Corte</t>
  </si>
  <si>
    <t>A. C. Acum.</t>
  </si>
  <si>
    <t>A. Aterro</t>
  </si>
  <si>
    <t>A. A. Acum.</t>
  </si>
  <si>
    <t>Semi-Dist.</t>
  </si>
  <si>
    <t>Vol. Corte</t>
  </si>
  <si>
    <t>Vol. C. Acumulado</t>
  </si>
  <si>
    <t>Vol. Aterro</t>
  </si>
  <si>
    <t>Vol. A. Acumulado</t>
  </si>
  <si>
    <t>CÁLCULO DE VOLUMES POR COMPARAÇÃO DE PERFIS: TERRENO x PROJETO</t>
  </si>
  <si>
    <t>VOLUME TOTAL DE CORTE</t>
  </si>
  <si>
    <t>VOLUME TOTAL DE ATERRO</t>
  </si>
  <si>
    <t>Cota      Projeto</t>
  </si>
  <si>
    <t>Cota       Projeto</t>
  </si>
  <si>
    <t>Cota   Vermelha</t>
  </si>
  <si>
    <t>Cota    Projeto</t>
  </si>
  <si>
    <t>Cota   Terreno</t>
  </si>
  <si>
    <t>REGULARIZAÇÃO DO SUBLEITO</t>
  </si>
  <si>
    <t>82 + 12,5</t>
  </si>
  <si>
    <t>TOTAL</t>
  </si>
  <si>
    <t>BASE ESTABILIZADA GRANULOMETRICAMENTE SEM MISTURA</t>
  </si>
  <si>
    <t>Pavim.</t>
  </si>
  <si>
    <t>Não Pavim.</t>
  </si>
  <si>
    <t>DENSIDADE (ton/m³)</t>
  </si>
  <si>
    <t>ESPESSURA (m)</t>
  </si>
  <si>
    <t>EXTENSÃO (m)</t>
  </si>
  <si>
    <t>VOLUME                    (m³)</t>
  </si>
  <si>
    <t>ÁREA                      (m²)</t>
  </si>
  <si>
    <t>LARGURA                        (m)</t>
  </si>
  <si>
    <t>MASSA                         (ton)</t>
  </si>
  <si>
    <t>DMT                                                             (km)</t>
  </si>
  <si>
    <t>MOMENTO                                                      (ton x km)</t>
  </si>
  <si>
    <t>IMPRIMAÇÃO</t>
  </si>
  <si>
    <t>CM-30</t>
  </si>
  <si>
    <t>TSD</t>
  </si>
  <si>
    <t>RR-2C</t>
  </si>
  <si>
    <t>Taxa=1,20 L/m²</t>
  </si>
  <si>
    <t>Taxa=3,00 L/m²</t>
  </si>
  <si>
    <t>CAPA SELANTE COM AREIA</t>
  </si>
  <si>
    <t>QUADRO DEMONSTRATIVO DE QUANTITADES</t>
  </si>
  <si>
    <t>PLANILHA RESUMO</t>
  </si>
  <si>
    <t xml:space="preserve">VALOR TOTAL                           </t>
  </si>
  <si>
    <t>CRONOGRAMA FÍSICO-FINANCEIRO</t>
  </si>
  <si>
    <t>VALOR TOTAL</t>
  </si>
  <si>
    <t>30 DIAS</t>
  </si>
  <si>
    <t>VALOR</t>
  </si>
  <si>
    <t>1.12</t>
  </si>
  <si>
    <t>ANP/MT</t>
  </si>
  <si>
    <t>B.D.I.: Mat. Betum.:</t>
  </si>
  <si>
    <t>PLANILHA ORÇAMENTÁRIA ESTIMADA</t>
  </si>
  <si>
    <t>Área Aprox.:</t>
  </si>
  <si>
    <t>Base de solo estabilizado granulometricamente sem mistura com material de jazida</t>
  </si>
  <si>
    <t>Imprimação com asfalto diluído</t>
  </si>
  <si>
    <t>t</t>
  </si>
  <si>
    <t>tkm</t>
  </si>
  <si>
    <t xml:space="preserve">TRANSPORTE  DE MATERIAIS BETUMINOSOS EM RODOVIA </t>
  </si>
  <si>
    <t>TRANSPORTE</t>
  </si>
  <si>
    <t>UNID</t>
  </si>
  <si>
    <t>CUSTO UNIT</t>
  </si>
  <si>
    <t>BDI (15%)</t>
  </si>
  <si>
    <t>PREÇO UNIT</t>
  </si>
  <si>
    <t>TRANSP. A QUENTE</t>
  </si>
  <si>
    <t>T</t>
  </si>
  <si>
    <t>TRANSP. A FRIO</t>
  </si>
  <si>
    <t>Dados:</t>
  </si>
  <si>
    <t>R.A. =</t>
  </si>
  <si>
    <t>km</t>
  </si>
  <si>
    <t>R.P. =</t>
  </si>
  <si>
    <t>L.N. =</t>
  </si>
  <si>
    <t>Q     =</t>
  </si>
  <si>
    <t>x</t>
  </si>
  <si>
    <t>1ª Parcela</t>
  </si>
  <si>
    <t>Reaj. de jun/00 a Dez/00</t>
  </si>
  <si>
    <t>Reaj. De Dez/00 a Set 2009</t>
  </si>
  <si>
    <t>2ª Parcela</t>
  </si>
  <si>
    <t>t =</t>
  </si>
  <si>
    <t>+</t>
  </si>
  <si>
    <t>=</t>
  </si>
  <si>
    <t>/</t>
  </si>
  <si>
    <t>Então: T=(R$ 9,293+R$0,119xD)x1,17 (ICMS) (por tonelada)</t>
  </si>
  <si>
    <t>*</t>
  </si>
  <si>
    <t>CUIABÁ - PRIMAVERA</t>
  </si>
  <si>
    <t>DNIT</t>
  </si>
  <si>
    <t>AVENIDA ELDEVIR VICTORINO VIECILLI, ENTRE AVENIDA CALIFÓRNIA (E 00) E RUA ALFREDO LORENZZON (E 260 + 12,673m)</t>
  </si>
  <si>
    <t>Tratamento superficial triplo com banho diluído - brita comercial</t>
  </si>
  <si>
    <t>SINAPI</t>
  </si>
  <si>
    <t>2.1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</si>
  <si>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</si>
  <si>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</si>
  <si>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COMPOSIÇÕES DE PREÇOS UNITÁRIOS</t>
  </si>
  <si>
    <t>CLASSE/TIPO</t>
  </si>
  <si>
    <t>REFERÊNCIA</t>
  </si>
  <si>
    <t>CÓDIGOS</t>
  </si>
  <si>
    <t>UNIDADE</t>
  </si>
  <si>
    <t>COEFICIENTE</t>
  </si>
  <si>
    <t>CUSTO UNITÁRIO</t>
  </si>
  <si>
    <t>CUSTO           PARCIAL</t>
  </si>
  <si>
    <t>CUSTO TOTAL</t>
  </si>
  <si>
    <t>CPU 001</t>
  </si>
  <si>
    <t>KG</t>
  </si>
  <si>
    <t/>
  </si>
  <si>
    <t>INSUMO</t>
  </si>
  <si>
    <t>COMPOSICAO</t>
  </si>
  <si>
    <t>H</t>
  </si>
  <si>
    <t>88316</t>
  </si>
  <si>
    <t>SERVENTE COM ENCARGOS COMPLEMENTARES</t>
  </si>
  <si>
    <t>PEDREIRO COM ENCARGOS COMPLEMENTARES</t>
  </si>
  <si>
    <t>M3</t>
  </si>
  <si>
    <t>M</t>
  </si>
  <si>
    <t>SINAPI                  03/2017</t>
  </si>
  <si>
    <t>PEÇA DE MADEIRA NATIVA/REGINAL 2,50 X 7,0 CM (SARRAFO P/ FORMA)</t>
  </si>
  <si>
    <t>TABUA MADEIRA 2a QUALIDADE 2,50 X 30 CM (1 X 12") NÃO APARELHADA</t>
  </si>
  <si>
    <t>CONCRETO USINADO BOMBEÁVEL, CLASSE DE RESISTÊNICA C20, COM BRITA 0 E 1, EXCLUI SERVIÇO DE BOMBEAMENTO (NBR 8953)</t>
  </si>
  <si>
    <t>COMPOSIÇÃO UTILIZADA COMO MODELO: SINAPI 03/2017  - COD.: 94281</t>
  </si>
  <si>
    <t>Execução de sarjeta de concreto usinado, moldada  in loco  em trecho reto, 30 cm base x 5 cm altura. af_06/2016</t>
  </si>
  <si>
    <t>CP</t>
  </si>
  <si>
    <t>2.2</t>
  </si>
  <si>
    <t>001</t>
  </si>
  <si>
    <t>2.0</t>
  </si>
  <si>
    <t>60 DIAS</t>
  </si>
  <si>
    <t xml:space="preserve">DRENAGEM </t>
  </si>
  <si>
    <t>MEIO FIO E SARJETA</t>
  </si>
  <si>
    <t>2.1.1</t>
  </si>
  <si>
    <t>2.1.2</t>
  </si>
  <si>
    <t>TUBULAÇÃO</t>
  </si>
  <si>
    <t>Escavação mecânica de vala em mat.1a cat.</t>
  </si>
  <si>
    <t>m3</t>
  </si>
  <si>
    <t>Reaterro e compactação com soquete vibratório</t>
  </si>
  <si>
    <t>2003870</t>
  </si>
  <si>
    <t>Assentamento de tubo D = 50 cm PA-2 comercial - junta rígida</t>
  </si>
  <si>
    <t>2003823</t>
  </si>
  <si>
    <t>Assentamento de tubo D = 60 cm PA-2 comercial - junta rígida</t>
  </si>
  <si>
    <t>2003827</t>
  </si>
  <si>
    <t>Assentamento de tubo D = 80 cm PA-2 comercial - junta rígida</t>
  </si>
  <si>
    <t>2003831</t>
  </si>
  <si>
    <t>Assentamento de tubo D = 100 cm PA-2 comercial - junta rígida</t>
  </si>
  <si>
    <t>2003835</t>
  </si>
  <si>
    <t>Assentamento de tubo D = 120 cm PA-2 comercial - junta rígida</t>
  </si>
  <si>
    <t>CAIXAS E DISPOSITIVOS</t>
  </si>
  <si>
    <t>2003622</t>
  </si>
  <si>
    <t>Boca de lobo combinada - chapéu e grelha simples - BLC 01 - areia e brita comerciais</t>
  </si>
  <si>
    <t>und</t>
  </si>
  <si>
    <t>2003642</t>
  </si>
  <si>
    <t>Caixa de ligação e passagem - CLP 01 - areia e brita comerciais</t>
  </si>
  <si>
    <t>2003646</t>
  </si>
  <si>
    <t>Caixa de ligação e passagem - CLP 03 - areia e brita comerciais</t>
  </si>
  <si>
    <t>2003648</t>
  </si>
  <si>
    <t>Caixa de ligação e passagem - CLP 04 - areia e brita comerciais</t>
  </si>
  <si>
    <t>203680</t>
  </si>
  <si>
    <t>Poço de visita - PVI 02 - areia e brita comerciais</t>
  </si>
  <si>
    <t>2003682</t>
  </si>
  <si>
    <t>Poço de visita - PVI 03 - areia e brita comerciais</t>
  </si>
  <si>
    <t>2003684</t>
  </si>
  <si>
    <t>Poço de visita - PVI 04 - areia e brita comerciais</t>
  </si>
  <si>
    <t>2003686</t>
  </si>
  <si>
    <t>Poço de visita - PVI 05 - areia e brita comerciais</t>
  </si>
  <si>
    <t>2003457</t>
  </si>
  <si>
    <t>Dissipador de energia - DEB 05 - areia e pedra de mão comerciais</t>
  </si>
  <si>
    <t>2.2.1</t>
  </si>
  <si>
    <t>2.2.2</t>
  </si>
  <si>
    <t>2.2.3</t>
  </si>
  <si>
    <t>2.2.4</t>
  </si>
  <si>
    <t>2.2.5</t>
  </si>
  <si>
    <t>2.2.6</t>
  </si>
  <si>
    <t>2.2.7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</si>
  <si>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</si>
  <si>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</si>
  <si>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</si>
  <si>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</si>
  <si>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</si>
  <si>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</si>
  <si>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</si>
  <si>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</si>
  <si>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</si>
  <si>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</si>
  <si>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4011351</t>
  </si>
  <si>
    <t>4011372</t>
  </si>
  <si>
    <t>Tratamento superficial duplo com banho diluído - brita comercial</t>
  </si>
  <si>
    <t>4915637</t>
  </si>
  <si>
    <t>Capa selante - areia comercial</t>
  </si>
  <si>
    <t>Asfalto Diluído CM-30 p/ Imprimação (aquisição)</t>
  </si>
  <si>
    <t>Emulsão Asfáltica RR-2C p/  TSD (aquisição)</t>
  </si>
  <si>
    <t>Asfalto Diluído CM-30 p/ Imprimação (transporte CBA-PVA)</t>
  </si>
  <si>
    <t>Emulsão Asfáltica RR-2C p/  TSD (transporte CBA-PVA)</t>
  </si>
  <si>
    <t>5914389</t>
  </si>
  <si>
    <t>Transporte com caminhao basculante 10 m³ - rodovia pavimentada (brita p/ TSD) DMT= 160 KM</t>
  </si>
  <si>
    <t>ton x km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</si>
  <si>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</si>
  <si>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</si>
  <si>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</si>
  <si>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</si>
  <si>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</si>
  <si>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</si>
  <si>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</si>
  <si>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</si>
  <si>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</si>
  <si>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área tubo</t>
  </si>
  <si>
    <t>comprimento</t>
  </si>
  <si>
    <t xml:space="preserve">largura </t>
  </si>
  <si>
    <t>profundidade</t>
  </si>
  <si>
    <t>volume escavação</t>
  </si>
  <si>
    <t>volume reaterro</t>
  </si>
  <si>
    <t>Caixa de ligação e passagem - CLP 02 - areia e brita comerciais</t>
  </si>
  <si>
    <t>2003644</t>
  </si>
  <si>
    <t>2.3.10</t>
  </si>
  <si>
    <t>Dissipador de energia - DEB 06 - areia e pedra de mão comerciais</t>
  </si>
  <si>
    <t>2003459</t>
  </si>
  <si>
    <t>RECOMPOSIÇÃO ASFÁLTICA (Av. Siriema)</t>
  </si>
  <si>
    <t>90 DIAS</t>
  </si>
  <si>
    <t>TOTAL PARCIAL</t>
  </si>
  <si>
    <t>TOTAL GERAL</t>
  </si>
  <si>
    <t>ANP</t>
  </si>
  <si>
    <t>PREÇO  UNITÁRIO                       S/ B.D.I.</t>
  </si>
  <si>
    <t>PREÇO  UNITÁRIO                       C/ B.D.I.</t>
  </si>
  <si>
    <t>VALOR                  TOTAL                              S/ B.D.I.</t>
  </si>
  <si>
    <t>VALOR                  TOTAL                              C/ B.D.I.</t>
  </si>
  <si>
    <t>Fernanda Cristine Rabêlo Gueno</t>
  </si>
  <si>
    <r>
      <t>Eng</t>
    </r>
    <r>
      <rPr>
        <sz val="11"/>
        <color theme="1"/>
        <rFont val="Calibri"/>
        <family val="2"/>
      </rPr>
      <t>ªCivil CREA 10080200-0</t>
    </r>
  </si>
  <si>
    <t>Fernanda Cristine Rabelo Gueno</t>
  </si>
  <si>
    <t>CREA 10080200-0</t>
  </si>
  <si>
    <t xml:space="preserve">           ____________________________________</t>
  </si>
  <si>
    <t>2003680</t>
  </si>
  <si>
    <t>ÍNDICES DE ATUALIZAÇÃO DE REAJUSTAMENTO: Conforme PORTARIA/DNIT n.º 1078/2015</t>
  </si>
  <si>
    <t>Equações tarifárias estabelecidas na Portaria 1.078/2015</t>
  </si>
  <si>
    <t>26,939 + 0,253xD</t>
  </si>
  <si>
    <t>Transporte a QUENTE/FRIO</t>
  </si>
  <si>
    <t>DNIT PORT. 1078-2015</t>
  </si>
  <si>
    <t>DNIT PORT. 1078-2016</t>
  </si>
  <si>
    <t>DNIT - SICRO - Março/18                                   SINAPI - Julho/18</t>
  </si>
  <si>
    <t>Composição da Parcela de BDI (Bonificações e Despesas Indiretas) SEM DESONERAÇÃO - Obras e Serviços</t>
  </si>
  <si>
    <t>Referência</t>
  </si>
  <si>
    <t>Itens relativos à Administração da Obra</t>
  </si>
  <si>
    <t>AC - Administração Central</t>
  </si>
  <si>
    <t>DF - Custos Financeiros</t>
  </si>
  <si>
    <t>C - Riscos</t>
  </si>
  <si>
    <t>S - Seguros e Garantias</t>
  </si>
  <si>
    <t>Sub-total</t>
  </si>
  <si>
    <t>Lucro</t>
  </si>
  <si>
    <t>L - Lucro/Remuneração</t>
  </si>
  <si>
    <t>I - Taxas e Impostos</t>
  </si>
  <si>
    <t>PIS</t>
  </si>
  <si>
    <t>COFINS</t>
  </si>
  <si>
    <t>ISSQN</t>
  </si>
  <si>
    <t>BDI=</t>
  </si>
  <si>
    <t>Transporte com caminhão basculante de 10 m³ - rodovia pavimentada (brita p/ TST) - DMT aprox. = 160km</t>
  </si>
  <si>
    <t>Primavera do Leste, 01 de Outubro de 2018.</t>
  </si>
  <si>
    <t xml:space="preserve">                    Fernanda Cristine Rabelo Gueno</t>
  </si>
  <si>
    <t xml:space="preserve">                               CREA 10080200-0</t>
  </si>
</sst>
</file>

<file path=xl/styles.xml><?xml version="1.0" encoding="utf-8"?>
<styleSheet xmlns="http://schemas.openxmlformats.org/spreadsheetml/2006/main">
  <numFmts count="5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0.00&quot; m&quot;"/>
    <numFmt numFmtId="167" formatCode="_-* #,##0.000_-;\-* #,##0.000_-;_-* &quot;-&quot;??_-;_-@_-"/>
    <numFmt numFmtId="168" formatCode="_-* #,##0.000_-;\-* #,##0.000_-;_-* &quot;-&quot;???_-;_-@_-"/>
    <numFmt numFmtId="169" formatCode="#,##0.000"/>
    <numFmt numFmtId="170" formatCode="#,##0.0000"/>
    <numFmt numFmtId="171" formatCode="0.0000"/>
    <numFmt numFmtId="172" formatCode="0.00&quot; m2&quot;"/>
    <numFmt numFmtId="173" formatCode="[$-416]mmm/yy;@"/>
    <numFmt numFmtId="174" formatCode="_(&quot;R$&quot;* #,##0.00_);_(&quot;R$&quot;* \(#,##0.00\);_(&quot;R$&quot;* &quot;-&quot;??_);_(@_)"/>
    <numFmt numFmtId="175" formatCode="_(* #,##0.000_);_(* \(#,##0.000\);_(* \-??_);_(@_)"/>
    <numFmt numFmtId="176" formatCode="_(* #,##0.0000_);_(* \(#,##0.0000\);_(* \-????_);_(@_)"/>
    <numFmt numFmtId="177" formatCode="_(* #,##0.00000_);_(* \(#,##0.00000\);_(* \-??_);_(@_)"/>
    <numFmt numFmtId="178" formatCode="_(* #,##0.000_);_(* \(#,##0.000\);_(* \-????_);_(@_)"/>
    <numFmt numFmtId="179" formatCode="0\.0"/>
    <numFmt numFmtId="180" formatCode="&quot;Cr$&quot;#,##0.00_);\(&quot;Cr$&quot;#,##0.00\)"/>
    <numFmt numFmtId="181" formatCode="\$#,##0.00_);\(\$#,##0.00\)"/>
    <numFmt numFmtId="182" formatCode="_-&quot;$&quot;* #,##0_-;\-&quot;$&quot;* #,##0_-;_-&quot;$&quot;* &quot;-&quot;_-;_-@_-"/>
    <numFmt numFmtId="183" formatCode="\$#,##0_);\(\$#,##0\)"/>
    <numFmt numFmtId="184" formatCode="#."/>
    <numFmt numFmtId="185" formatCode="mmmm\ d\,\ yyyy"/>
    <numFmt numFmtId="186" formatCode="[$€]#,##0.00_);[Red]\([$€]#,##0.00\)"/>
    <numFmt numFmtId="187" formatCode="_([$€]\ * #,##0.00_);_([$€]\ * \(#,##0.00\);_([$€]\ * &quot;-&quot;??_);_(@_)"/>
    <numFmt numFmtId="188" formatCode="_(&quot;R$ &quot;* #,##0.00_);_(&quot;R$ &quot;* \(#,##0.00\);_(&quot;R$ &quot;* \-??_);_(@_)"/>
    <numFmt numFmtId="189" formatCode="_(* #,##0.00_);_(* \(#,##0.00\);_(* \-??_);_(@_)"/>
    <numFmt numFmtId="190" formatCode="_(&quot;R$&quot;* #,##0.00_);_(&quot;R$&quot;* \(#,##0.00\);_(&quot;R$&quot;* \-??_);_(@_)"/>
    <numFmt numFmtId="191" formatCode="00000"/>
    <numFmt numFmtId="192" formatCode="_(&quot;R$ &quot;* #,##0.00_);_(&quot;R$ &quot;* \(#,##0.00\);_(&quot;R$ &quot;* &quot;-&quot;??_);_(@_)"/>
    <numFmt numFmtId="193" formatCode="\$#,##0\ ;\(\$#,##0\)"/>
    <numFmt numFmtId="194" formatCode="_(&quot;Cr$&quot;* #,##0.00_);_(&quot;Cr$&quot;* \(#,##0.00\);_(&quot;Cr$&quot;* &quot;-&quot;??_);_(@_)"/>
    <numFmt numFmtId="195" formatCode="00"/>
    <numFmt numFmtId="196" formatCode="&quot;R$&quot;#,##0_);[Red]&quot;(R$&quot;#,##0\)"/>
    <numFmt numFmtId="197" formatCode="#,##0.0000\ ;&quot; (&quot;#,##0.0000\);&quot; -&quot;#.00\ ;@\ "/>
    <numFmt numFmtId="198" formatCode="0.0%"/>
    <numFmt numFmtId="199" formatCode="#,##0.000;[Red]#,##0.000"/>
    <numFmt numFmtId="200" formatCode="&quot;R$&quot;#,##0_);&quot;(R$&quot;#,##0\)"/>
    <numFmt numFmtId="201" formatCode="#,##0.00&quot; x&quot;"/>
    <numFmt numFmtId="202" formatCode="0.00000000"/>
    <numFmt numFmtId="203" formatCode="#,##0.0"/>
    <numFmt numFmtId="204" formatCode="&quot;R$ &quot;#,##0_);\(&quot;R$ &quot;#,##0\)"/>
    <numFmt numFmtId="205" formatCode="&quot;R$&quot;#,##0_);[Red]\(&quot;R$&quot;#,##0\)"/>
    <numFmt numFmtId="206" formatCode="General_)"/>
    <numFmt numFmtId="207" formatCode="#.##000"/>
    <numFmt numFmtId="208" formatCode="#.##0,"/>
    <numFmt numFmtId="209" formatCode="#,##0.00000"/>
    <numFmt numFmtId="210" formatCode="&quot;Primavera do Leste, &quot;dd&quot; de &quot;mmmm&quot; de &quot;yyyy&quot;.&quot;"/>
    <numFmt numFmtId="211" formatCode="0.00&quot; m²&quot;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12"/>
      <color indexed="24"/>
      <name val="Arial"/>
      <family val="2"/>
    </font>
    <font>
      <sz val="1"/>
      <color indexed="16"/>
      <name val="Courier"/>
      <family val="3"/>
    </font>
    <font>
      <b/>
      <sz val="10"/>
      <name val="Cataneo BT"/>
      <family val="4"/>
    </font>
    <font>
      <sz val="1"/>
      <color indexed="8"/>
      <name val="Courier"/>
      <family val="3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4"/>
      <name val="Calibri"/>
      <family val="2"/>
    </font>
    <font>
      <sz val="10"/>
      <name val="Courier"/>
      <family val="3"/>
    </font>
    <font>
      <sz val="12"/>
      <name val="Arial MT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8"/>
      <color indexed="10"/>
      <name val="MS Sans Serif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"/>
      <color indexed="16"/>
      <name val="Courier New"/>
      <family val="3"/>
    </font>
    <font>
      <sz val="10"/>
      <name val="MS Sans Serif"/>
      <family val="2"/>
    </font>
    <font>
      <sz val="11"/>
      <name val="Tahoma"/>
      <family val="2"/>
    </font>
    <font>
      <sz val="11"/>
      <color indexed="8"/>
      <name val="Lucida Sans Unicode"/>
      <family val="2"/>
    </font>
    <font>
      <sz val="8"/>
      <name val="Helv"/>
    </font>
    <font>
      <sz val="1"/>
      <color indexed="18"/>
      <name val="Courier New"/>
      <family val="3"/>
    </font>
    <font>
      <sz val="12"/>
      <name val="Courier"/>
      <family val="3"/>
    </font>
    <font>
      <b/>
      <i/>
      <sz val="9"/>
      <name val="Arial"/>
      <family val="2"/>
    </font>
    <font>
      <b/>
      <sz val="7"/>
      <color indexed="10"/>
      <name val="Arial"/>
      <family val="2"/>
    </font>
    <font>
      <b/>
      <sz val="18"/>
      <color indexed="54"/>
      <name val="Cambria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"/>
      <color indexed="16"/>
      <name val="Courier New"/>
      <family val="3"/>
    </font>
    <font>
      <sz val="11"/>
      <name val="Arial"/>
      <family val="2"/>
    </font>
    <font>
      <sz val="11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ourier"/>
      <family val="3"/>
    </font>
    <font>
      <sz val="10"/>
      <color theme="1"/>
      <name val="Calibri"/>
      <family val="2"/>
      <scheme val="minor"/>
    </font>
    <font>
      <sz val="10"/>
      <color rgb="FF000000"/>
      <name val="Courier"/>
      <family val="3"/>
    </font>
    <font>
      <b/>
      <sz val="10"/>
      <color rgb="FF000000"/>
      <name val="Courier"/>
      <family val="3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i/>
      <sz val="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medium">
        <color indexed="29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" fillId="0" borderId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>
      <alignment horizontal="center" vertical="top"/>
    </xf>
    <xf numFmtId="164" fontId="4" fillId="0" borderId="0"/>
    <xf numFmtId="164" fontId="4" fillId="0" borderId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180" fontId="35" fillId="0" borderId="0">
      <protection locked="0"/>
    </xf>
    <xf numFmtId="180" fontId="35" fillId="0" borderId="0">
      <protection locked="0"/>
    </xf>
    <xf numFmtId="0" fontId="27" fillId="22" borderId="56" applyNumberFormat="0" applyFont="0" applyBorder="0" applyAlignment="0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22" borderId="56" applyNumberFormat="0" applyFont="0" applyBorder="0" applyAlignment="0">
      <alignment horizontal="left" vertical="center"/>
    </xf>
    <xf numFmtId="0" fontId="38" fillId="11" borderId="61" applyNumberFormat="0" applyAlignment="0" applyProtection="0"/>
    <xf numFmtId="0" fontId="39" fillId="18" borderId="62" applyNumberFormat="0" applyAlignment="0" applyProtection="0"/>
    <xf numFmtId="0" fontId="29" fillId="0" borderId="63">
      <alignment horizontal="center" vertical="center"/>
    </xf>
    <xf numFmtId="39" fontId="2" fillId="0" borderId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2" fillId="0" borderId="0"/>
    <xf numFmtId="0" fontId="41" fillId="0" borderId="0"/>
    <xf numFmtId="0" fontId="42" fillId="0" borderId="0"/>
    <xf numFmtId="181" fontId="2" fillId="0" borderId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ill="0" applyBorder="0" applyAlignment="0" applyProtection="0"/>
    <xf numFmtId="183" fontId="2" fillId="0" borderId="0" applyFill="0" applyBorder="0" applyAlignment="0" applyProtection="0"/>
    <xf numFmtId="0" fontId="43" fillId="0" borderId="0" applyFont="0" applyFill="0" applyBorder="0" applyAlignment="0" applyProtection="0"/>
    <xf numFmtId="184" fontId="44" fillId="0" borderId="0">
      <protection locked="0"/>
    </xf>
    <xf numFmtId="185" fontId="2" fillId="0" borderId="0" applyFill="0" applyBorder="0" applyAlignment="0" applyProtection="0"/>
    <xf numFmtId="0" fontId="45" fillId="0" borderId="0">
      <alignment horizontal="left" vertical="center"/>
    </xf>
    <xf numFmtId="0" fontId="4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47" fillId="0" borderId="0"/>
    <xf numFmtId="186" fontId="2" fillId="0" borderId="0" applyFill="0" applyBorder="0" applyAlignment="0" applyProtection="0"/>
    <xf numFmtId="187" fontId="2" fillId="0" borderId="0" applyFont="0" applyFill="0" applyBorder="0" applyAlignment="0" applyProtection="0"/>
    <xf numFmtId="0" fontId="32" fillId="0" borderId="0"/>
    <xf numFmtId="0" fontId="48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2" fontId="2" fillId="0" borderId="0" applyFill="0" applyBorder="0" applyAlignment="0" applyProtection="0"/>
    <xf numFmtId="2" fontId="43" fillId="0" borderId="0" applyFont="0" applyFill="0" applyBorder="0" applyAlignment="0" applyProtection="0"/>
    <xf numFmtId="184" fontId="44" fillId="0" borderId="0">
      <protection locked="0"/>
    </xf>
    <xf numFmtId="0" fontId="49" fillId="12" borderId="0" applyNumberFormat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6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3" fillId="0" borderId="0"/>
    <xf numFmtId="0" fontId="54" fillId="7" borderId="61" applyNumberFormat="0" applyAlignment="0" applyProtection="0"/>
    <xf numFmtId="0" fontId="2" fillId="0" borderId="65">
      <alignment horizontal="center" vertical="top" wrapText="1"/>
    </xf>
    <xf numFmtId="0" fontId="55" fillId="0" borderId="66" applyNumberFormat="0" applyFill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8" fontId="2" fillId="0" borderId="0" applyFill="0" applyBorder="0" applyAlignment="0" applyProtection="0"/>
    <xf numFmtId="184" fontId="2" fillId="0" borderId="0" applyFill="0" applyBorder="0" applyAlignment="0" applyProtection="0"/>
    <xf numFmtId="189" fontId="2" fillId="0" borderId="0" applyFill="0" applyBorder="0" applyAlignment="0" applyProtection="0"/>
    <xf numFmtId="44" fontId="1" fillId="0" borderId="0" applyFont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71" fontId="2" fillId="0" borderId="0" applyFont="0" applyFill="0" applyBorder="0" applyAlignment="0" applyProtection="0"/>
    <xf numFmtId="190" fontId="2" fillId="0" borderId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6" fillId="0" borderId="0">
      <protection locked="0"/>
    </xf>
    <xf numFmtId="194" fontId="2" fillId="0" borderId="0" applyFont="0" applyFill="0" applyBorder="0" applyAlignment="0" applyProtection="0"/>
    <xf numFmtId="0" fontId="56" fillId="10" borderId="0" applyNumberFormat="0" applyBorder="0" applyAlignment="0" applyProtection="0"/>
    <xf numFmtId="37" fontId="57" fillId="0" borderId="0"/>
    <xf numFmtId="0" fontId="2" fillId="0" borderId="0"/>
    <xf numFmtId="49" fontId="2" fillId="0" borderId="0" applyProtection="0"/>
    <xf numFmtId="0" fontId="28" fillId="0" borderId="0"/>
    <xf numFmtId="0" fontId="28" fillId="0" borderId="0"/>
    <xf numFmtId="49" fontId="2" fillId="0" borderId="0" applyProtection="0"/>
    <xf numFmtId="0" fontId="58" fillId="0" borderId="0" applyNumberFormat="0" applyFill="0" applyBorder="0" applyAlignment="0" applyProtection="0"/>
    <xf numFmtId="49" fontId="2" fillId="0" borderId="0" applyProtection="0"/>
    <xf numFmtId="0" fontId="32" fillId="0" borderId="0"/>
    <xf numFmtId="0" fontId="28" fillId="0" borderId="0"/>
    <xf numFmtId="49" fontId="2" fillId="0" borderId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1" fillId="0" borderId="0"/>
    <xf numFmtId="0" fontId="1" fillId="0" borderId="0"/>
    <xf numFmtId="0" fontId="32" fillId="0" borderId="0"/>
    <xf numFmtId="49" fontId="2" fillId="0" borderId="0" applyProtection="0"/>
    <xf numFmtId="0" fontId="28" fillId="0" borderId="0"/>
    <xf numFmtId="0" fontId="28" fillId="0" borderId="0"/>
    <xf numFmtId="0" fontId="28" fillId="0" borderId="0"/>
    <xf numFmtId="49" fontId="2" fillId="0" borderId="0" applyProtection="0"/>
    <xf numFmtId="49" fontId="2" fillId="0" borderId="0" applyProtection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8" borderId="67" applyNumberFormat="0" applyFont="0" applyAlignment="0" applyProtection="0"/>
    <xf numFmtId="195" fontId="27" fillId="0" borderId="68">
      <alignment horizontal="center" vertical="center"/>
    </xf>
    <xf numFmtId="0" fontId="2" fillId="0" borderId="0" applyNumberFormat="0" applyBorder="0">
      <alignment horizontal="center" vertical="center"/>
    </xf>
    <xf numFmtId="0" fontId="61" fillId="11" borderId="69" applyNumberFormat="0" applyAlignment="0" applyProtection="0"/>
    <xf numFmtId="10" fontId="2" fillId="0" borderId="0" applyFill="0" applyBorder="0" applyAlignment="0" applyProtection="0"/>
    <xf numFmtId="184" fontId="62" fillId="0" borderId="0">
      <protection locked="0"/>
    </xf>
    <xf numFmtId="184" fontId="62" fillId="0" borderId="0">
      <protection locked="0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>
      <protection locked="0"/>
    </xf>
    <xf numFmtId="38" fontId="66" fillId="0" borderId="0"/>
    <xf numFmtId="38" fontId="63" fillId="0" borderId="0" applyFont="0" applyFill="0" applyBorder="0" applyAlignment="0" applyProtection="0"/>
    <xf numFmtId="184" fontId="67" fillId="0" borderId="0">
      <protection locked="0"/>
    </xf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64" fillId="0" borderId="0" applyFont="0" applyFill="0" applyBorder="0" applyAlignment="0" applyProtection="0"/>
    <xf numFmtId="42" fontId="2" fillId="0" borderId="0" applyFill="0" applyBorder="0" applyAlignment="0" applyProtection="0"/>
    <xf numFmtId="42" fontId="2" fillId="0" borderId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97" fontId="2" fillId="0" borderId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ill="0" applyBorder="0" applyAlignment="0" applyProtection="0"/>
    <xf numFmtId="16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9" fontId="2" fillId="0" borderId="0" applyFill="0" applyBorder="0" applyAlignment="0" applyProtection="0"/>
    <xf numFmtId="16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200" fontId="2" fillId="0" borderId="0" applyFill="0" applyBorder="0" applyAlignment="0" applyProtection="0"/>
    <xf numFmtId="189" fontId="2" fillId="0" borderId="0" applyFill="0" applyBorder="0" applyAlignment="0" applyProtection="0"/>
    <xf numFmtId="201" fontId="28" fillId="0" borderId="0" applyFont="0" applyFill="0" applyBorder="0" applyAlignment="0" applyProtection="0"/>
    <xf numFmtId="202" fontId="2" fillId="0" borderId="0" applyFill="0" applyBorder="0" applyAlignment="0" applyProtection="0"/>
    <xf numFmtId="189" fontId="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9" fontId="2" fillId="0" borderId="0" applyFill="0" applyBorder="0" applyAlignment="0" applyProtection="0"/>
    <xf numFmtId="185" fontId="2" fillId="0" borderId="0" applyFill="0" applyBorder="0" applyAlignment="0" applyProtection="0"/>
    <xf numFmtId="188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203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205" fontId="2" fillId="0" borderId="0" applyFill="0" applyBorder="0" applyAlignment="0" applyProtection="0"/>
    <xf numFmtId="206" fontId="68" fillId="0" borderId="0">
      <alignment horizontal="left"/>
    </xf>
    <xf numFmtId="189" fontId="69" fillId="0" borderId="70"/>
    <xf numFmtId="189" fontId="12" fillId="0" borderId="71"/>
    <xf numFmtId="0" fontId="70" fillId="0" borderId="72" applyNumberFormat="0" applyBorder="0" applyAlignment="0">
      <alignment horizontal="center" vertical="center"/>
    </xf>
    <xf numFmtId="0" fontId="71" fillId="0" borderId="0" applyNumberFormat="0" applyFill="0" applyBorder="0" applyAlignment="0" applyProtection="0"/>
    <xf numFmtId="0" fontId="72" fillId="0" borderId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11" fillId="2" borderId="0"/>
    <xf numFmtId="0" fontId="11" fillId="2" borderId="0">
      <alignment horizontal="left" indent="1"/>
    </xf>
    <xf numFmtId="0" fontId="11" fillId="0" borderId="0">
      <alignment horizontal="left" indent="1"/>
    </xf>
    <xf numFmtId="184" fontId="74" fillId="0" borderId="0">
      <protection locked="0"/>
    </xf>
    <xf numFmtId="184" fontId="74" fillId="0" borderId="0">
      <protection locked="0"/>
    </xf>
    <xf numFmtId="0" fontId="75" fillId="23" borderId="1">
      <alignment horizontal="center"/>
    </xf>
    <xf numFmtId="207" fontId="46" fillId="0" borderId="0">
      <protection locked="0"/>
    </xf>
    <xf numFmtId="208" fontId="46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0" fontId="32" fillId="27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30" borderId="0" applyNumberFormat="0" applyBorder="0" applyAlignment="0" applyProtection="0"/>
    <xf numFmtId="0" fontId="32" fillId="13" borderId="0" applyNumberFormat="0" applyBorder="0" applyAlignment="0" applyProtection="0"/>
    <xf numFmtId="0" fontId="32" fillId="31" borderId="0" applyNumberFormat="0" applyBorder="0" applyAlignment="0" applyProtection="0"/>
    <xf numFmtId="0" fontId="32" fillId="28" borderId="0" applyNumberFormat="0" applyBorder="0" applyAlignment="0" applyProtection="0"/>
    <xf numFmtId="0" fontId="32" fillId="30" borderId="0" applyNumberFormat="0" applyBorder="0" applyAlignment="0" applyProtection="0"/>
    <xf numFmtId="0" fontId="32" fillId="14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3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20" borderId="0" applyNumberFormat="0" applyBorder="0" applyAlignment="0" applyProtection="0"/>
    <xf numFmtId="0" fontId="49" fillId="12" borderId="0" applyNumberFormat="0" applyBorder="0" applyAlignment="0" applyProtection="0"/>
    <xf numFmtId="0" fontId="38" fillId="11" borderId="78" applyNumberFormat="0" applyAlignment="0" applyProtection="0"/>
    <xf numFmtId="0" fontId="39" fillId="18" borderId="62" applyNumberFormat="0" applyAlignment="0" applyProtection="0"/>
    <xf numFmtId="0" fontId="55" fillId="0" borderId="66" applyNumberFormat="0" applyFill="0" applyAlignment="0" applyProtection="0"/>
    <xf numFmtId="0" fontId="33" fillId="35" borderId="0" applyNumberFormat="0" applyBorder="0" applyAlignment="0" applyProtection="0"/>
    <xf numFmtId="0" fontId="33" fillId="16" borderId="0" applyNumberFormat="0" applyBorder="0" applyAlignment="0" applyProtection="0"/>
    <xf numFmtId="0" fontId="33" fillId="15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19" borderId="0" applyNumberFormat="0" applyBorder="0" applyAlignment="0" applyProtection="0"/>
    <xf numFmtId="0" fontId="54" fillId="7" borderId="78" applyNumberFormat="0" applyAlignment="0" applyProtection="0"/>
    <xf numFmtId="0" fontId="34" fillId="21" borderId="0" applyNumberFormat="0" applyBorder="0" applyAlignment="0" applyProtection="0"/>
    <xf numFmtId="0" fontId="56" fillId="10" borderId="0" applyNumberFormat="0" applyBorder="0" applyAlignment="0" applyProtection="0"/>
    <xf numFmtId="0" fontId="60" fillId="8" borderId="79" applyNumberFormat="0" applyFont="0" applyAlignment="0" applyProtection="0"/>
    <xf numFmtId="0" fontId="61" fillId="11" borderId="80" applyNumberFormat="0" applyAlignment="0" applyProtection="0"/>
    <xf numFmtId="0" fontId="7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73" applyNumberFormat="0" applyFill="0" applyAlignment="0" applyProtection="0"/>
    <xf numFmtId="0" fontId="85" fillId="0" borderId="81" applyNumberFormat="0" applyFill="0" applyAlignment="0" applyProtection="0"/>
    <xf numFmtId="0" fontId="86" fillId="0" borderId="8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83" applyNumberFormat="0" applyFill="0" applyAlignment="0" applyProtection="0"/>
  </cellStyleXfs>
  <cellXfs count="481">
    <xf numFmtId="0" fontId="0" fillId="0" borderId="0" xfId="0"/>
    <xf numFmtId="0" fontId="2" fillId="0" borderId="0" xfId="3"/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10" fontId="8" fillId="0" borderId="0" xfId="4" applyNumberFormat="1" applyFont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0" fontId="8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/>
    </xf>
    <xf numFmtId="0" fontId="2" fillId="0" borderId="0" xfId="3" applyFont="1"/>
    <xf numFmtId="164" fontId="10" fillId="0" borderId="0" xfId="5" applyNumberFormat="1" applyFont="1" applyAlignment="1">
      <alignment horizont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3" fontId="11" fillId="3" borderId="4" xfId="3" applyNumberFormat="1" applyFont="1" applyFill="1" applyBorder="1" applyAlignment="1">
      <alignment horizontal="center" vertical="center"/>
    </xf>
    <xf numFmtId="3" fontId="11" fillId="3" borderId="5" xfId="3" applyNumberFormat="1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vertical="center"/>
    </xf>
    <xf numFmtId="43" fontId="11" fillId="3" borderId="4" xfId="1" applyFont="1" applyFill="1" applyBorder="1" applyAlignment="1">
      <alignment horizontal="center" vertical="center"/>
    </xf>
    <xf numFmtId="10" fontId="11" fillId="3" borderId="4" xfId="2" applyNumberFormat="1" applyFont="1" applyFill="1" applyBorder="1" applyAlignment="1">
      <alignment horizontal="center" vertical="center"/>
    </xf>
    <xf numFmtId="0" fontId="11" fillId="0" borderId="0" xfId="3" applyFont="1"/>
    <xf numFmtId="3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43" fontId="2" fillId="0" borderId="4" xfId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3" fontId="2" fillId="0" borderId="6" xfId="3" applyNumberFormat="1" applyFont="1" applyFill="1" applyBorder="1" applyAlignment="1">
      <alignment horizontal="center" vertical="center"/>
    </xf>
    <xf numFmtId="3" fontId="2" fillId="0" borderId="6" xfId="3" applyNumberFormat="1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center" vertical="center"/>
    </xf>
    <xf numFmtId="165" fontId="2" fillId="0" borderId="6" xfId="5" applyNumberFormat="1" applyFont="1" applyFill="1" applyBorder="1" applyAlignment="1">
      <alignment vertical="center"/>
    </xf>
    <xf numFmtId="164" fontId="2" fillId="0" borderId="6" xfId="5" applyNumberFormat="1" applyFont="1" applyFill="1" applyBorder="1" applyAlignment="1">
      <alignment vertical="center"/>
    </xf>
    <xf numFmtId="43" fontId="2" fillId="0" borderId="6" xfId="1" applyFont="1" applyFill="1" applyBorder="1" applyAlignment="1">
      <alignment horizontal="center" vertical="center"/>
    </xf>
    <xf numFmtId="10" fontId="2" fillId="0" borderId="6" xfId="2" applyNumberFormat="1" applyFont="1" applyFill="1" applyBorder="1" applyAlignment="1">
      <alignment horizontal="center" vertical="center"/>
    </xf>
    <xf numFmtId="0" fontId="2" fillId="0" borderId="0" xfId="3" applyBorder="1" applyAlignment="1">
      <alignment horizontal="left"/>
    </xf>
    <xf numFmtId="0" fontId="2" fillId="0" borderId="0" xfId="3" applyAlignment="1">
      <alignment horizontal="right" wrapText="1"/>
    </xf>
    <xf numFmtId="0" fontId="2" fillId="0" borderId="0" xfId="3" applyAlignment="1">
      <alignment horizontal="center"/>
    </xf>
    <xf numFmtId="0" fontId="12" fillId="0" borderId="0" xfId="3" applyFont="1" applyAlignment="1">
      <alignment horizontal="left"/>
    </xf>
    <xf numFmtId="0" fontId="2" fillId="0" borderId="0" xfId="3" applyAlignment="1">
      <alignment horizontal="left"/>
    </xf>
    <xf numFmtId="0" fontId="2" fillId="0" borderId="0" xfId="3" applyAlignment="1">
      <alignment wrapText="1"/>
    </xf>
    <xf numFmtId="166" fontId="8" fillId="0" borderId="0" xfId="2" applyNumberFormat="1" applyFont="1" applyAlignment="1">
      <alignment horizontal="left" vertical="center"/>
    </xf>
    <xf numFmtId="164" fontId="11" fillId="0" borderId="0" xfId="5" applyNumberFormat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vertical="center"/>
    </xf>
    <xf numFmtId="43" fontId="11" fillId="0" borderId="0" xfId="1" applyFont="1"/>
    <xf numFmtId="43" fontId="11" fillId="0" borderId="0" xfId="1" applyFont="1" applyAlignment="1">
      <alignment horizontal="center" vertical="center" wrapText="1"/>
    </xf>
    <xf numFmtId="10" fontId="8" fillId="4" borderId="3" xfId="2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right" vertical="center"/>
    </xf>
    <xf numFmtId="43" fontId="8" fillId="4" borderId="3" xfId="1" applyFont="1" applyFill="1" applyBorder="1" applyAlignment="1">
      <alignment vertical="center"/>
    </xf>
    <xf numFmtId="43" fontId="2" fillId="0" borderId="0" xfId="3" applyNumberFormat="1"/>
    <xf numFmtId="0" fontId="4" fillId="0" borderId="0" xfId="3" applyFont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8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0" xfId="1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/>
    <xf numFmtId="169" fontId="0" fillId="0" borderId="0" xfId="0" applyNumberFormat="1" applyFont="1" applyAlignment="1">
      <alignment horizontal="center"/>
    </xf>
    <xf numFmtId="169" fontId="0" fillId="0" borderId="0" xfId="0" applyNumberFormat="1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9" xfId="0" applyNumberFormat="1" applyBorder="1"/>
    <xf numFmtId="169" fontId="0" fillId="0" borderId="9" xfId="0" applyNumberFormat="1" applyFont="1" applyBorder="1" applyAlignment="1">
      <alignment horizontal="center"/>
    </xf>
    <xf numFmtId="169" fontId="0" fillId="0" borderId="9" xfId="0" applyNumberFormat="1" applyFont="1" applyBorder="1"/>
    <xf numFmtId="169" fontId="0" fillId="0" borderId="10" xfId="0" applyNumberFormat="1" applyFont="1" applyBorder="1"/>
    <xf numFmtId="0" fontId="0" fillId="0" borderId="9" xfId="0" applyBorder="1"/>
    <xf numFmtId="169" fontId="0" fillId="0" borderId="10" xfId="0" applyNumberFormat="1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12" xfId="0" applyNumberFormat="1" applyBorder="1"/>
    <xf numFmtId="169" fontId="0" fillId="0" borderId="12" xfId="0" applyNumberFormat="1" applyFont="1" applyBorder="1" applyAlignment="1">
      <alignment horizontal="center"/>
    </xf>
    <xf numFmtId="169" fontId="0" fillId="0" borderId="12" xfId="0" applyNumberFormat="1" applyFont="1" applyBorder="1"/>
    <xf numFmtId="169" fontId="0" fillId="0" borderId="13" xfId="0" applyNumberFormat="1" applyFont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169" fontId="17" fillId="0" borderId="9" xfId="0" applyNumberFormat="1" applyFont="1" applyBorder="1" applyAlignment="1">
      <alignment horizontal="center"/>
    </xf>
    <xf numFmtId="169" fontId="17" fillId="0" borderId="10" xfId="0" applyNumberFormat="1" applyFont="1" applyBorder="1" applyAlignment="1">
      <alignment horizontal="center"/>
    </xf>
    <xf numFmtId="169" fontId="14" fillId="0" borderId="0" xfId="0" applyNumberFormat="1" applyFont="1" applyAlignment="1">
      <alignment horizontal="center"/>
    </xf>
    <xf numFmtId="0" fontId="14" fillId="0" borderId="1" xfId="0" applyFont="1" applyBorder="1"/>
    <xf numFmtId="169" fontId="14" fillId="0" borderId="1" xfId="0" applyNumberFormat="1" applyFont="1" applyBorder="1" applyAlignment="1">
      <alignment horizontal="center"/>
    </xf>
    <xf numFmtId="0" fontId="14" fillId="4" borderId="1" xfId="0" applyFont="1" applyFill="1" applyBorder="1"/>
    <xf numFmtId="167" fontId="14" fillId="4" borderId="1" xfId="1" applyNumberFormat="1" applyFont="1" applyFill="1" applyBorder="1" applyAlignment="1">
      <alignment horizontal="center" vertical="center" wrapText="1"/>
    </xf>
    <xf numFmtId="168" fontId="14" fillId="4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69" fontId="0" fillId="0" borderId="15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69" fontId="0" fillId="0" borderId="6" xfId="1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4" fontId="0" fillId="0" borderId="26" xfId="0" applyNumberFormat="1" applyBorder="1"/>
    <xf numFmtId="0" fontId="0" fillId="0" borderId="27" xfId="0" applyBorder="1" applyAlignment="1">
      <alignment horizontal="center"/>
    </xf>
    <xf numFmtId="4" fontId="0" fillId="0" borderId="28" xfId="0" applyNumberFormat="1" applyBorder="1"/>
    <xf numFmtId="4" fontId="14" fillId="0" borderId="26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4" fontId="0" fillId="0" borderId="32" xfId="0" applyNumberFormat="1" applyBorder="1"/>
    <xf numFmtId="0" fontId="0" fillId="0" borderId="33" xfId="0" applyBorder="1" applyAlignment="1">
      <alignment horizontal="center"/>
    </xf>
    <xf numFmtId="4" fontId="0" fillId="0" borderId="34" xfId="0" applyNumberFormat="1" applyBorder="1"/>
    <xf numFmtId="0" fontId="0" fillId="0" borderId="35" xfId="0" applyBorder="1" applyAlignment="1">
      <alignment horizontal="center"/>
    </xf>
    <xf numFmtId="4" fontId="0" fillId="0" borderId="36" xfId="0" applyNumberFormat="1" applyBorder="1"/>
    <xf numFmtId="4" fontId="0" fillId="0" borderId="26" xfId="0" applyNumberForma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166" fontId="12" fillId="0" borderId="0" xfId="3" applyNumberFormat="1" applyFont="1" applyAlignment="1">
      <alignment horizontal="left" vertical="center"/>
    </xf>
    <xf numFmtId="10" fontId="12" fillId="0" borderId="0" xfId="2" applyNumberFormat="1" applyFont="1" applyAlignment="1">
      <alignment horizontal="left" vertical="center"/>
    </xf>
    <xf numFmtId="9" fontId="15" fillId="0" borderId="0" xfId="0" applyNumberFormat="1" applyFont="1" applyAlignment="1">
      <alignment vertical="center"/>
    </xf>
    <xf numFmtId="43" fontId="15" fillId="0" borderId="0" xfId="1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 vertical="center"/>
    </xf>
    <xf numFmtId="10" fontId="14" fillId="0" borderId="0" xfId="2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10" fontId="1" fillId="0" borderId="1" xfId="2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1" fillId="0" borderId="3" xfId="2" applyNumberFormat="1" applyFont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10" fontId="14" fillId="5" borderId="1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10" fontId="22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 wrapText="1"/>
    </xf>
    <xf numFmtId="4" fontId="0" fillId="0" borderId="15" xfId="0" applyNumberFormat="1" applyFill="1" applyBorder="1" applyAlignment="1">
      <alignment vertical="center"/>
    </xf>
    <xf numFmtId="10" fontId="1" fillId="0" borderId="15" xfId="2" applyNumberFormat="1" applyFont="1" applyFill="1" applyBorder="1" applyAlignment="1">
      <alignment vertical="center"/>
    </xf>
    <xf numFmtId="43" fontId="0" fillId="0" borderId="15" xfId="1" applyFont="1" applyBorder="1" applyAlignment="1">
      <alignment vertical="center"/>
    </xf>
    <xf numFmtId="9" fontId="0" fillId="0" borderId="15" xfId="2" applyFont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10" fontId="1" fillId="0" borderId="6" xfId="2" applyNumberFormat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9" fontId="0" fillId="0" borderId="6" xfId="2" applyFont="1" applyBorder="1" applyAlignment="1">
      <alignment vertical="center"/>
    </xf>
    <xf numFmtId="10" fontId="1" fillId="0" borderId="7" xfId="2" applyNumberFormat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vertical="center"/>
    </xf>
    <xf numFmtId="10" fontId="14" fillId="5" borderId="15" xfId="2" applyNumberFormat="1" applyFont="1" applyFill="1" applyBorder="1" applyAlignment="1">
      <alignment vertical="center"/>
    </xf>
    <xf numFmtId="43" fontId="14" fillId="5" borderId="15" xfId="1" applyFont="1" applyFill="1" applyBorder="1" applyAlignment="1">
      <alignment vertical="center"/>
    </xf>
    <xf numFmtId="9" fontId="14" fillId="5" borderId="15" xfId="2" applyFont="1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43" fontId="14" fillId="5" borderId="6" xfId="1" applyFont="1" applyFill="1" applyBorder="1" applyAlignment="1">
      <alignment vertical="center"/>
    </xf>
    <xf numFmtId="9" fontId="14" fillId="5" borderId="6" xfId="2" applyFont="1" applyFill="1" applyBorder="1" applyAlignment="1">
      <alignment vertical="center"/>
    </xf>
    <xf numFmtId="0" fontId="6" fillId="0" borderId="0" xfId="3" applyFont="1" applyAlignment="1">
      <alignment horizontal="left" vertical="center" wrapText="1"/>
    </xf>
    <xf numFmtId="172" fontId="8" fillId="0" borderId="0" xfId="2" applyNumberFormat="1" applyFont="1" applyAlignment="1">
      <alignment horizontal="left" vertical="center"/>
    </xf>
    <xf numFmtId="173" fontId="2" fillId="0" borderId="4" xfId="3" applyNumberFormat="1" applyFont="1" applyFill="1" applyBorder="1" applyAlignment="1">
      <alignment horizontal="center" vertical="center"/>
    </xf>
    <xf numFmtId="0" fontId="11" fillId="0" borderId="0" xfId="9" applyFont="1" applyAlignment="1">
      <alignment horizontal="center"/>
    </xf>
    <xf numFmtId="0" fontId="2" fillId="0" borderId="0" xfId="9"/>
    <xf numFmtId="164" fontId="2" fillId="0" borderId="0" xfId="10" applyNumberFormat="1" applyFont="1"/>
    <xf numFmtId="0" fontId="26" fillId="0" borderId="0" xfId="9" applyFont="1" applyAlignment="1">
      <alignment horizontal="center"/>
    </xf>
    <xf numFmtId="0" fontId="25" fillId="0" borderId="0" xfId="9" applyFont="1"/>
    <xf numFmtId="0" fontId="2" fillId="0" borderId="0" xfId="9" applyBorder="1"/>
    <xf numFmtId="0" fontId="2" fillId="0" borderId="0" xfId="9" applyFont="1" applyBorder="1" applyAlignment="1"/>
    <xf numFmtId="0" fontId="27" fillId="0" borderId="0" xfId="9" applyFont="1" applyBorder="1"/>
    <xf numFmtId="0" fontId="4" fillId="0" borderId="0" xfId="9" applyFont="1" applyBorder="1" applyAlignment="1">
      <alignment horizontal="center"/>
    </xf>
    <xf numFmtId="174" fontId="27" fillId="0" borderId="0" xfId="11" applyNumberFormat="1" applyFont="1" applyBorder="1"/>
    <xf numFmtId="175" fontId="27" fillId="0" borderId="0" xfId="12" applyNumberFormat="1" applyFont="1" applyFill="1" applyBorder="1" applyAlignment="1" applyProtection="1">
      <alignment horizontal="center"/>
    </xf>
    <xf numFmtId="0" fontId="4" fillId="0" borderId="0" xfId="9" applyFont="1" applyBorder="1"/>
    <xf numFmtId="175" fontId="4" fillId="0" borderId="0" xfId="12" applyNumberFormat="1" applyFont="1" applyFill="1" applyBorder="1" applyAlignment="1" applyProtection="1">
      <alignment horizontal="center"/>
    </xf>
    <xf numFmtId="175" fontId="4" fillId="0" borderId="0" xfId="12" applyNumberFormat="1" applyFont="1" applyFill="1" applyBorder="1" applyAlignment="1" applyProtection="1"/>
    <xf numFmtId="164" fontId="4" fillId="0" borderId="0" xfId="13" applyNumberFormat="1" applyFont="1" applyFill="1" applyBorder="1" applyAlignment="1" applyProtection="1">
      <alignment horizontal="center"/>
    </xf>
    <xf numFmtId="0" fontId="2" fillId="0" borderId="0" xfId="9" applyFont="1" applyBorder="1" applyAlignment="1">
      <alignment horizontal="left"/>
    </xf>
    <xf numFmtId="0" fontId="2" fillId="0" borderId="50" xfId="9" applyFont="1" applyBorder="1" applyAlignment="1">
      <alignment horizontal="center"/>
    </xf>
    <xf numFmtId="175" fontId="2" fillId="0" borderId="0" xfId="12" applyNumberFormat="1" applyFont="1" applyFill="1" applyBorder="1" applyAlignment="1" applyProtection="1"/>
    <xf numFmtId="0" fontId="29" fillId="0" borderId="0" xfId="9" applyFont="1" applyBorder="1" applyAlignment="1"/>
    <xf numFmtId="0" fontId="2" fillId="0" borderId="0" xfId="9" applyFont="1" applyBorder="1"/>
    <xf numFmtId="176" fontId="2" fillId="0" borderId="0" xfId="12" applyNumberFormat="1" applyFont="1" applyFill="1" applyBorder="1" applyAlignment="1" applyProtection="1"/>
    <xf numFmtId="164" fontId="11" fillId="0" borderId="51" xfId="10" applyNumberFormat="1" applyFont="1" applyFill="1" applyBorder="1" applyAlignment="1" applyProtection="1">
      <alignment horizontal="right"/>
    </xf>
    <xf numFmtId="164" fontId="11" fillId="0" borderId="52" xfId="10" applyNumberFormat="1" applyFont="1" applyFill="1" applyBorder="1" applyAlignment="1" applyProtection="1"/>
    <xf numFmtId="164" fontId="11" fillId="0" borderId="53" xfId="10" applyNumberFormat="1" applyFont="1" applyFill="1" applyBorder="1" applyAlignment="1" applyProtection="1"/>
    <xf numFmtId="164" fontId="11" fillId="0" borderId="54" xfId="10" applyNumberFormat="1" applyFont="1" applyBorder="1" applyAlignment="1">
      <alignment horizontal="right"/>
    </xf>
    <xf numFmtId="164" fontId="11" fillId="0" borderId="0" xfId="10" applyNumberFormat="1" applyFont="1" applyFill="1" applyBorder="1" applyAlignment="1" applyProtection="1"/>
    <xf numFmtId="164" fontId="11" fillId="0" borderId="55" xfId="10" applyNumberFormat="1" applyFont="1" applyFill="1" applyBorder="1" applyAlignment="1" applyProtection="1"/>
    <xf numFmtId="0" fontId="11" fillId="0" borderId="0" xfId="9" applyFont="1"/>
    <xf numFmtId="164" fontId="11" fillId="0" borderId="58" xfId="10" applyNumberFormat="1" applyFont="1" applyBorder="1" applyAlignment="1">
      <alignment horizontal="right"/>
    </xf>
    <xf numFmtId="164" fontId="11" fillId="0" borderId="59" xfId="10" applyNumberFormat="1" applyFont="1" applyFill="1" applyBorder="1" applyAlignment="1" applyProtection="1"/>
    <xf numFmtId="164" fontId="11" fillId="0" borderId="60" xfId="10" applyNumberFormat="1" applyFont="1" applyFill="1" applyBorder="1" applyAlignment="1" applyProtection="1"/>
    <xf numFmtId="164" fontId="11" fillId="0" borderId="0" xfId="10" applyNumberFormat="1" applyFont="1"/>
    <xf numFmtId="0" fontId="11" fillId="0" borderId="0" xfId="9" applyFont="1" applyBorder="1"/>
    <xf numFmtId="175" fontId="11" fillId="0" borderId="0" xfId="12" applyNumberFormat="1" applyFont="1" applyFill="1" applyBorder="1" applyAlignment="1" applyProtection="1"/>
    <xf numFmtId="176" fontId="11" fillId="0" borderId="0" xfId="12" applyNumberFormat="1" applyFont="1" applyFill="1" applyBorder="1" applyAlignment="1" applyProtection="1"/>
    <xf numFmtId="0" fontId="2" fillId="0" borderId="55" xfId="9" applyFill="1" applyBorder="1"/>
    <xf numFmtId="0" fontId="2" fillId="4" borderId="52" xfId="9" applyFill="1" applyBorder="1"/>
    <xf numFmtId="0" fontId="11" fillId="4" borderId="52" xfId="9" applyFont="1" applyFill="1" applyBorder="1"/>
    <xf numFmtId="175" fontId="2" fillId="4" borderId="52" xfId="12" applyNumberFormat="1" applyFont="1" applyFill="1" applyBorder="1" applyAlignment="1" applyProtection="1"/>
    <xf numFmtId="0" fontId="2" fillId="4" borderId="53" xfId="9" applyFill="1" applyBorder="1"/>
    <xf numFmtId="0" fontId="2" fillId="0" borderId="0" xfId="9" applyFill="1"/>
    <xf numFmtId="0" fontId="2" fillId="6" borderId="0" xfId="9" applyFill="1"/>
    <xf numFmtId="0" fontId="2" fillId="0" borderId="0" xfId="9" applyFill="1" applyBorder="1"/>
    <xf numFmtId="0" fontId="11" fillId="0" borderId="0" xfId="9" applyFont="1" applyFill="1" applyBorder="1"/>
    <xf numFmtId="0" fontId="2" fillId="0" borderId="55" xfId="9" applyBorder="1"/>
    <xf numFmtId="0" fontId="2" fillId="0" borderId="0" xfId="9" applyFont="1" applyBorder="1" applyAlignment="1">
      <alignment horizontal="center"/>
    </xf>
    <xf numFmtId="164" fontId="2" fillId="0" borderId="0" xfId="10" applyNumberFormat="1" applyFont="1" applyBorder="1" applyAlignment="1">
      <alignment horizontal="center"/>
    </xf>
    <xf numFmtId="171" fontId="2" fillId="0" borderId="0" xfId="10" applyNumberFormat="1" applyFont="1" applyFill="1" applyBorder="1" applyAlignment="1" applyProtection="1">
      <alignment horizontal="center"/>
    </xf>
    <xf numFmtId="164" fontId="2" fillId="0" borderId="0" xfId="10" applyNumberFormat="1" applyFont="1" applyFill="1" applyBorder="1" applyAlignment="1" applyProtection="1">
      <alignment horizontal="center"/>
    </xf>
    <xf numFmtId="164" fontId="2" fillId="0" borderId="55" xfId="10" quotePrefix="1" applyNumberFormat="1" applyFont="1" applyFill="1" applyBorder="1" applyAlignment="1" applyProtection="1">
      <alignment horizontal="center"/>
    </xf>
    <xf numFmtId="164" fontId="2" fillId="0" borderId="0" xfId="10" applyNumberFormat="1" applyFont="1" applyFill="1" applyBorder="1" applyAlignment="1" applyProtection="1"/>
    <xf numFmtId="164" fontId="11" fillId="0" borderId="0" xfId="10" applyNumberFormat="1" applyFont="1" applyBorder="1" applyAlignment="1">
      <alignment horizontal="left"/>
    </xf>
    <xf numFmtId="175" fontId="2" fillId="0" borderId="55" xfId="12" applyNumberFormat="1" applyFont="1" applyFill="1" applyBorder="1" applyAlignment="1" applyProtection="1"/>
    <xf numFmtId="174" fontId="2" fillId="0" borderId="0" xfId="14" applyNumberFormat="1" applyFont="1" applyFill="1" applyBorder="1" applyAlignment="1" applyProtection="1"/>
    <xf numFmtId="0" fontId="11" fillId="0" borderId="0" xfId="9" applyFont="1" applyBorder="1" applyAlignment="1">
      <alignment horizontal="right"/>
    </xf>
    <xf numFmtId="0" fontId="11" fillId="0" borderId="59" xfId="9" applyFont="1" applyBorder="1"/>
    <xf numFmtId="0" fontId="2" fillId="0" borderId="59" xfId="9" applyFont="1" applyBorder="1" applyAlignment="1">
      <alignment horizontal="right"/>
    </xf>
    <xf numFmtId="174" fontId="11" fillId="0" borderId="59" xfId="11" applyNumberFormat="1" applyFont="1" applyBorder="1"/>
    <xf numFmtId="175" fontId="11" fillId="0" borderId="59" xfId="12" applyNumberFormat="1" applyFont="1" applyFill="1" applyBorder="1" applyAlignment="1" applyProtection="1"/>
    <xf numFmtId="175" fontId="11" fillId="0" borderId="60" xfId="12" applyNumberFormat="1" applyFont="1" applyFill="1" applyBorder="1" applyAlignment="1" applyProtection="1"/>
    <xf numFmtId="0" fontId="2" fillId="0" borderId="0" xfId="9" applyFont="1" applyBorder="1" applyAlignment="1">
      <alignment horizontal="right"/>
    </xf>
    <xf numFmtId="174" fontId="11" fillId="0" borderId="0" xfId="11" applyNumberFormat="1" applyFont="1" applyBorder="1"/>
    <xf numFmtId="0" fontId="4" fillId="0" borderId="0" xfId="9" applyFont="1"/>
    <xf numFmtId="175" fontId="27" fillId="0" borderId="0" xfId="12" applyNumberFormat="1" applyFont="1" applyFill="1" applyBorder="1" applyAlignment="1" applyProtection="1"/>
    <xf numFmtId="0" fontId="4" fillId="0" borderId="0" xfId="9" applyFont="1" applyBorder="1" applyAlignment="1">
      <alignment horizontal="right"/>
    </xf>
    <xf numFmtId="164" fontId="4" fillId="0" borderId="0" xfId="10" applyNumberFormat="1" applyFont="1"/>
    <xf numFmtId="0" fontId="27" fillId="0" borderId="0" xfId="9" applyFont="1"/>
    <xf numFmtId="164" fontId="27" fillId="0" borderId="0" xfId="10" applyNumberFormat="1" applyFont="1"/>
    <xf numFmtId="176" fontId="4" fillId="0" borderId="0" xfId="12" applyNumberFormat="1" applyFont="1" applyFill="1" applyBorder="1" applyAlignment="1" applyProtection="1"/>
    <xf numFmtId="171" fontId="2" fillId="0" borderId="50" xfId="9" applyNumberFormat="1" applyBorder="1" applyAlignment="1">
      <alignment horizontal="center"/>
    </xf>
    <xf numFmtId="0" fontId="2" fillId="0" borderId="0" xfId="9" applyAlignment="1">
      <alignment horizontal="center"/>
    </xf>
    <xf numFmtId="2" fontId="2" fillId="0" borderId="0" xfId="9" applyNumberFormat="1" applyAlignment="1">
      <alignment horizontal="center"/>
    </xf>
    <xf numFmtId="0" fontId="2" fillId="0" borderId="0" xfId="9" applyFont="1" applyAlignment="1">
      <alignment horizontal="center"/>
    </xf>
    <xf numFmtId="178" fontId="2" fillId="0" borderId="0" xfId="9" applyNumberFormat="1" applyAlignment="1">
      <alignment horizontal="center"/>
    </xf>
    <xf numFmtId="164" fontId="2" fillId="0" borderId="0" xfId="10" applyNumberFormat="1" applyFont="1" applyAlignment="1">
      <alignment horizontal="center"/>
    </xf>
    <xf numFmtId="0" fontId="30" fillId="0" borderId="0" xfId="9" applyFont="1"/>
    <xf numFmtId="0" fontId="31" fillId="0" borderId="0" xfId="9" applyFont="1"/>
    <xf numFmtId="164" fontId="31" fillId="0" borderId="0" xfId="10" applyNumberFormat="1" applyFont="1"/>
    <xf numFmtId="0" fontId="31" fillId="0" borderId="0" xfId="9" applyFont="1" applyAlignment="1">
      <alignment horizontal="center"/>
    </xf>
    <xf numFmtId="164" fontId="31" fillId="0" borderId="0" xfId="10" applyNumberFormat="1" applyFont="1" applyAlignment="1">
      <alignment horizontal="center"/>
    </xf>
    <xf numFmtId="2" fontId="31" fillId="0" borderId="0" xfId="9" applyNumberFormat="1" applyFont="1" applyAlignment="1">
      <alignment horizontal="center"/>
    </xf>
    <xf numFmtId="164" fontId="11" fillId="6" borderId="0" xfId="10" applyNumberFormat="1" applyFont="1" applyFill="1" applyBorder="1" applyAlignment="1">
      <alignment horizontal="center"/>
    </xf>
    <xf numFmtId="1" fontId="2" fillId="0" borderId="4" xfId="3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left"/>
    </xf>
    <xf numFmtId="198" fontId="11" fillId="0" borderId="0" xfId="2" applyNumberFormat="1" applyFont="1"/>
    <xf numFmtId="3" fontId="2" fillId="0" borderId="17" xfId="3" applyNumberFormat="1" applyFont="1" applyFill="1" applyBorder="1" applyAlignment="1">
      <alignment horizontal="center" vertical="center"/>
    </xf>
    <xf numFmtId="1" fontId="2" fillId="0" borderId="17" xfId="3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left" vertical="center"/>
    </xf>
    <xf numFmtId="0" fontId="2" fillId="0" borderId="17" xfId="3" applyFont="1" applyFill="1" applyBorder="1" applyAlignment="1">
      <alignment horizontal="center" vertical="center"/>
    </xf>
    <xf numFmtId="165" fontId="2" fillId="0" borderId="17" xfId="5" applyNumberFormat="1" applyFont="1" applyFill="1" applyBorder="1" applyAlignment="1">
      <alignment vertical="center"/>
    </xf>
    <xf numFmtId="164" fontId="2" fillId="0" borderId="17" xfId="5" applyNumberFormat="1" applyFont="1" applyFill="1" applyBorder="1" applyAlignment="1">
      <alignment vertical="center"/>
    </xf>
    <xf numFmtId="43" fontId="2" fillId="0" borderId="17" xfId="1" applyFont="1" applyFill="1" applyBorder="1" applyAlignment="1">
      <alignment horizontal="center" vertical="center"/>
    </xf>
    <xf numFmtId="10" fontId="2" fillId="0" borderId="17" xfId="2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78" fillId="24" borderId="74" xfId="478" applyFont="1" applyFill="1" applyBorder="1" applyAlignment="1">
      <alignment horizontal="center" vertical="center" wrapText="1"/>
    </xf>
    <xf numFmtId="2" fontId="78" fillId="24" borderId="74" xfId="478" applyNumberFormat="1" applyFont="1" applyFill="1" applyBorder="1" applyAlignment="1">
      <alignment horizontal="center" vertical="center" wrapText="1"/>
    </xf>
    <xf numFmtId="209" fontId="78" fillId="24" borderId="74" xfId="478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0" fillId="25" borderId="74" xfId="478" applyFont="1" applyFill="1" applyBorder="1" applyAlignment="1">
      <alignment horizontal="center" vertical="center" wrapText="1"/>
    </xf>
    <xf numFmtId="0" fontId="81" fillId="25" borderId="74" xfId="478" applyFont="1" applyFill="1" applyBorder="1" applyAlignment="1">
      <alignment horizontal="center" vertical="center" wrapText="1"/>
    </xf>
    <xf numFmtId="0" fontId="81" fillId="25" borderId="74" xfId="478" applyFont="1" applyFill="1" applyBorder="1" applyAlignment="1">
      <alignment horizontal="left" vertical="center" wrapText="1"/>
    </xf>
    <xf numFmtId="171" fontId="80" fillId="25" borderId="74" xfId="477" applyNumberFormat="1" applyFont="1" applyFill="1" applyBorder="1" applyAlignment="1">
      <alignment horizontal="center" vertical="center" wrapText="1"/>
    </xf>
    <xf numFmtId="0" fontId="82" fillId="4" borderId="74" xfId="478" applyFont="1" applyFill="1" applyBorder="1" applyAlignment="1">
      <alignment horizontal="center" vertical="center" wrapText="1"/>
    </xf>
    <xf numFmtId="2" fontId="82" fillId="4" borderId="74" xfId="478" applyNumberFormat="1" applyFont="1" applyFill="1" applyBorder="1" applyAlignment="1">
      <alignment horizontal="center" vertical="center" wrapText="1"/>
    </xf>
    <xf numFmtId="0" fontId="83" fillId="0" borderId="19" xfId="478" applyFont="1" applyBorder="1" applyAlignment="1">
      <alignment horizontal="center" vertical="center" wrapText="1"/>
    </xf>
    <xf numFmtId="0" fontId="83" fillId="0" borderId="14" xfId="478" applyFont="1" applyBorder="1" applyAlignment="1">
      <alignment horizontal="center" vertical="center" wrapText="1"/>
    </xf>
    <xf numFmtId="0" fontId="83" fillId="0" borderId="0" xfId="478" applyFont="1" applyFill="1" applyBorder="1" applyAlignment="1">
      <alignment horizontal="left" vertical="center"/>
    </xf>
    <xf numFmtId="0" fontId="80" fillId="26" borderId="4" xfId="478" applyFont="1" applyFill="1" applyBorder="1" applyAlignment="1">
      <alignment horizontal="center" vertical="center" wrapText="1"/>
    </xf>
    <xf numFmtId="0" fontId="80" fillId="26" borderId="4" xfId="478" applyFont="1" applyFill="1" applyBorder="1" applyAlignment="1">
      <alignment horizontal="left" vertical="center" wrapText="1"/>
    </xf>
    <xf numFmtId="171" fontId="80" fillId="26" borderId="4" xfId="477" applyNumberFormat="1" applyFont="1" applyFill="1" applyBorder="1" applyAlignment="1">
      <alignment horizontal="center" vertical="center" wrapText="1"/>
    </xf>
    <xf numFmtId="0" fontId="83" fillId="0" borderId="4" xfId="478" applyFont="1" applyBorder="1" applyAlignment="1">
      <alignment horizontal="center" vertical="center" wrapText="1"/>
    </xf>
    <xf numFmtId="2" fontId="83" fillId="0" borderId="4" xfId="478" applyNumberFormat="1" applyFont="1" applyBorder="1" applyAlignment="1">
      <alignment horizontal="center" vertical="center" wrapText="1"/>
    </xf>
    <xf numFmtId="0" fontId="80" fillId="26" borderId="6" xfId="478" applyFont="1" applyFill="1" applyBorder="1" applyAlignment="1">
      <alignment horizontal="center" vertical="center" wrapText="1"/>
    </xf>
    <xf numFmtId="0" fontId="80" fillId="26" borderId="6" xfId="478" applyFont="1" applyFill="1" applyBorder="1" applyAlignment="1">
      <alignment horizontal="left" vertical="center" wrapText="1"/>
    </xf>
    <xf numFmtId="171" fontId="80" fillId="26" borderId="6" xfId="477" applyNumberFormat="1" applyFont="1" applyFill="1" applyBorder="1" applyAlignment="1">
      <alignment horizontal="center" vertical="center" wrapText="1"/>
    </xf>
    <xf numFmtId="0" fontId="83" fillId="0" borderId="6" xfId="478" applyFont="1" applyBorder="1" applyAlignment="1">
      <alignment horizontal="center" vertical="center" wrapText="1"/>
    </xf>
    <xf numFmtId="2" fontId="83" fillId="0" borderId="6" xfId="478" applyNumberFormat="1" applyFont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/>
    </xf>
    <xf numFmtId="211" fontId="14" fillId="0" borderId="0" xfId="0" applyNumberFormat="1" applyFont="1" applyAlignment="1">
      <alignment vertical="center"/>
    </xf>
    <xf numFmtId="3" fontId="11" fillId="3" borderId="15" xfId="3" applyNumberFormat="1" applyFont="1" applyFill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3" fontId="0" fillId="0" borderId="74" xfId="0" applyNumberFormat="1" applyFill="1" applyBorder="1" applyAlignment="1">
      <alignment vertical="center" wrapText="1"/>
    </xf>
    <xf numFmtId="4" fontId="0" fillId="0" borderId="74" xfId="0" applyNumberFormat="1" applyFill="1" applyBorder="1" applyAlignment="1">
      <alignment vertical="center"/>
    </xf>
    <xf numFmtId="49" fontId="84" fillId="0" borderId="0" xfId="3" applyNumberFormat="1" applyFont="1" applyAlignment="1">
      <alignment horizontal="left" vertical="center" wrapText="1" shrinkToFit="1"/>
    </xf>
    <xf numFmtId="49" fontId="84" fillId="0" borderId="0" xfId="3" applyNumberFormat="1" applyFont="1" applyAlignment="1">
      <alignment horizontal="left" vertical="top" shrinkToFit="1"/>
    </xf>
    <xf numFmtId="3" fontId="11" fillId="0" borderId="17" xfId="3" applyNumberFormat="1" applyFont="1" applyFill="1" applyBorder="1" applyAlignment="1">
      <alignment horizontal="left" vertical="center" wrapText="1"/>
    </xf>
    <xf numFmtId="3" fontId="11" fillId="0" borderId="17" xfId="3" applyNumberFormat="1" applyFont="1" applyFill="1" applyBorder="1" applyAlignment="1">
      <alignment horizontal="center" vertical="center"/>
    </xf>
    <xf numFmtId="0" fontId="2" fillId="0" borderId="4" xfId="3" applyFont="1" applyBorder="1"/>
    <xf numFmtId="3" fontId="11" fillId="0" borderId="4" xfId="3" applyNumberFormat="1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left" vertical="center" wrapText="1"/>
    </xf>
    <xf numFmtId="3" fontId="0" fillId="0" borderId="4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/>
    </xf>
    <xf numFmtId="10" fontId="1" fillId="0" borderId="4" xfId="2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10" fontId="1" fillId="0" borderId="57" xfId="2" applyNumberFormat="1" applyFont="1" applyBorder="1" applyAlignment="1">
      <alignment vertical="center"/>
    </xf>
    <xf numFmtId="49" fontId="11" fillId="0" borderId="17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center" vertical="center"/>
    </xf>
    <xf numFmtId="165" fontId="11" fillId="0" borderId="17" xfId="5" applyNumberFormat="1" applyFont="1" applyFill="1" applyBorder="1" applyAlignment="1">
      <alignment vertical="center"/>
    </xf>
    <xf numFmtId="164" fontId="11" fillId="0" borderId="17" xfId="5" applyNumberFormat="1" applyFont="1" applyFill="1" applyBorder="1" applyAlignment="1">
      <alignment vertical="center"/>
    </xf>
    <xf numFmtId="43" fontId="11" fillId="0" borderId="17" xfId="1" applyFont="1" applyFill="1" applyBorder="1" applyAlignment="1">
      <alignment horizontal="center" vertical="center"/>
    </xf>
    <xf numFmtId="10" fontId="11" fillId="0" borderId="0" xfId="2" applyNumberFormat="1" applyFont="1" applyAlignment="1">
      <alignment horizontal="left"/>
    </xf>
    <xf numFmtId="0" fontId="14" fillId="0" borderId="0" xfId="0" applyFont="1" applyAlignment="1">
      <alignment vertical="center"/>
    </xf>
    <xf numFmtId="43" fontId="14" fillId="0" borderId="0" xfId="1" applyFont="1" applyAlignment="1">
      <alignment vertical="center"/>
    </xf>
    <xf numFmtId="43" fontId="2" fillId="0" borderId="4" xfId="1" applyFont="1" applyFill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vertical="center"/>
    </xf>
    <xf numFmtId="43" fontId="0" fillId="0" borderId="75" xfId="1" applyFont="1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7" xfId="0" applyBorder="1" applyAlignment="1">
      <alignment vertical="center"/>
    </xf>
    <xf numFmtId="43" fontId="0" fillId="0" borderId="77" xfId="1" applyFont="1" applyBorder="1" applyAlignment="1">
      <alignment vertical="center"/>
    </xf>
    <xf numFmtId="3" fontId="11" fillId="0" borderId="4" xfId="3" applyNumberFormat="1" applyFont="1" applyFill="1" applyBorder="1" applyAlignment="1">
      <alignment horizontal="center" vertical="center"/>
    </xf>
    <xf numFmtId="49" fontId="11" fillId="0" borderId="4" xfId="3" applyNumberFormat="1" applyFont="1" applyFill="1" applyBorder="1" applyAlignment="1">
      <alignment horizontal="center" vertical="center"/>
    </xf>
    <xf numFmtId="165" fontId="11" fillId="0" borderId="4" xfId="5" applyNumberFormat="1" applyFont="1" applyFill="1" applyBorder="1" applyAlignment="1">
      <alignment vertical="center"/>
    </xf>
    <xf numFmtId="43" fontId="11" fillId="0" borderId="4" xfId="1" applyFont="1" applyFill="1" applyBorder="1" applyAlignment="1">
      <alignment vertical="center"/>
    </xf>
    <xf numFmtId="43" fontId="11" fillId="0" borderId="4" xfId="1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vertical="center"/>
    </xf>
    <xf numFmtId="43" fontId="14" fillId="0" borderId="76" xfId="1" applyFont="1" applyBorder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vertical="center"/>
    </xf>
    <xf numFmtId="3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0" fontId="1" fillId="0" borderId="0" xfId="2" applyNumberFormat="1" applyFont="1" applyBorder="1" applyAlignment="1">
      <alignment vertical="center"/>
    </xf>
    <xf numFmtId="0" fontId="14" fillId="5" borderId="0" xfId="0" applyFont="1" applyFill="1" applyBorder="1" applyAlignment="1">
      <alignment horizontal="right" vertical="center"/>
    </xf>
    <xf numFmtId="4" fontId="14" fillId="5" borderId="0" xfId="0" applyNumberFormat="1" applyFont="1" applyFill="1" applyBorder="1" applyAlignment="1">
      <alignment horizontal="right" vertical="center"/>
    </xf>
    <xf numFmtId="10" fontId="14" fillId="5" borderId="0" xfId="2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right" vertical="center"/>
    </xf>
    <xf numFmtId="43" fontId="8" fillId="4" borderId="74" xfId="1" applyFont="1" applyFill="1" applyBorder="1" applyAlignment="1">
      <alignment vertical="center"/>
    </xf>
    <xf numFmtId="0" fontId="2" fillId="0" borderId="50" xfId="9" applyFont="1" applyBorder="1" applyAlignment="1">
      <alignment horizontal="center"/>
    </xf>
    <xf numFmtId="171" fontId="2" fillId="0" borderId="50" xfId="9" applyNumberFormat="1" applyBorder="1" applyAlignment="1">
      <alignment horizontal="center"/>
    </xf>
    <xf numFmtId="164" fontId="11" fillId="6" borderId="0" xfId="10" applyNumberFormat="1" applyFont="1" applyFill="1" applyBorder="1" applyAlignment="1" applyProtection="1"/>
    <xf numFmtId="17" fontId="2" fillId="0" borderId="4" xfId="3" applyNumberFormat="1" applyFont="1" applyFill="1" applyBorder="1" applyAlignment="1">
      <alignment horizontal="center" vertical="center"/>
    </xf>
    <xf numFmtId="0" fontId="91" fillId="0" borderId="89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90" xfId="0" applyFont="1" applyBorder="1" applyAlignment="1">
      <alignment horizontal="center" vertical="center"/>
    </xf>
    <xf numFmtId="0" fontId="90" fillId="0" borderId="89" xfId="0" applyFont="1" applyBorder="1" applyAlignment="1">
      <alignment horizontal="center" vertical="center"/>
    </xf>
    <xf numFmtId="0" fontId="90" fillId="0" borderId="0" xfId="0" applyFont="1" applyBorder="1" applyAlignment="1">
      <alignment horizontal="right" vertical="center"/>
    </xf>
    <xf numFmtId="17" fontId="90" fillId="0" borderId="90" xfId="0" applyNumberFormat="1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2" fillId="0" borderId="93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14" xfId="0" applyBorder="1" applyAlignment="1">
      <alignment vertical="center"/>
    </xf>
    <xf numFmtId="10" fontId="0" fillId="0" borderId="95" xfId="2" applyNumberFormat="1" applyFont="1" applyBorder="1" applyAlignment="1">
      <alignment vertical="center"/>
    </xf>
    <xf numFmtId="0" fontId="0" fillId="0" borderId="96" xfId="0" applyBorder="1" applyAlignment="1">
      <alignment vertical="center"/>
    </xf>
    <xf numFmtId="10" fontId="0" fillId="0" borderId="97" xfId="2" applyNumberFormat="1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10" fontId="0" fillId="0" borderId="100" xfId="2" applyNumberFormat="1" applyFont="1" applyBorder="1" applyAlignment="1">
      <alignment vertical="center"/>
    </xf>
    <xf numFmtId="0" fontId="0" fillId="0" borderId="101" xfId="0" applyBorder="1" applyAlignment="1">
      <alignment vertical="center"/>
    </xf>
    <xf numFmtId="0" fontId="11" fillId="0" borderId="102" xfId="0" applyFont="1" applyBorder="1" applyAlignment="1">
      <alignment horizontal="right" vertical="center"/>
    </xf>
    <xf numFmtId="10" fontId="11" fillId="0" borderId="93" xfId="2" applyNumberFormat="1" applyFont="1" applyBorder="1" applyAlignment="1">
      <alignment vertical="center"/>
    </xf>
    <xf numFmtId="0" fontId="0" fillId="0" borderId="74" xfId="0" applyBorder="1" applyAlignment="1">
      <alignment vertical="center"/>
    </xf>
    <xf numFmtId="10" fontId="2" fillId="0" borderId="97" xfId="2" applyNumberFormat="1" applyFont="1" applyBorder="1" applyAlignment="1">
      <alignment vertical="center"/>
    </xf>
    <xf numFmtId="10" fontId="0" fillId="0" borderId="74" xfId="0" applyNumberFormat="1" applyBorder="1" applyAlignment="1">
      <alignment horizontal="left" vertical="center"/>
    </xf>
    <xf numFmtId="0" fontId="11" fillId="0" borderId="103" xfId="0" applyFont="1" applyBorder="1" applyAlignment="1">
      <alignment horizontal="right" vertical="center"/>
    </xf>
    <xf numFmtId="10" fontId="11" fillId="0" borderId="104" xfId="2" applyNumberFormat="1" applyFont="1" applyBorder="1" applyAlignment="1">
      <alignment vertical="center"/>
    </xf>
    <xf numFmtId="10" fontId="11" fillId="0" borderId="24" xfId="2" applyNumberFormat="1" applyFont="1" applyBorder="1" applyAlignment="1">
      <alignment vertical="center"/>
    </xf>
    <xf numFmtId="0" fontId="92" fillId="0" borderId="106" xfId="0" applyFont="1" applyBorder="1" applyAlignment="1">
      <alignment vertical="center"/>
    </xf>
    <xf numFmtId="0" fontId="92" fillId="0" borderId="107" xfId="0" applyFont="1" applyBorder="1" applyAlignment="1">
      <alignment horizontal="right" vertical="center"/>
    </xf>
    <xf numFmtId="10" fontId="11" fillId="0" borderId="43" xfId="2" applyNumberFormat="1" applyFont="1" applyBorder="1" applyAlignment="1">
      <alignment vertical="center"/>
    </xf>
    <xf numFmtId="0" fontId="93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8" fillId="4" borderId="2" xfId="3" applyFont="1" applyFill="1" applyBorder="1" applyAlignment="1">
      <alignment horizontal="right" vertical="center"/>
    </xf>
    <xf numFmtId="0" fontId="8" fillId="4" borderId="7" xfId="3" applyFont="1" applyFill="1" applyBorder="1" applyAlignment="1">
      <alignment horizontal="right" vertical="center"/>
    </xf>
    <xf numFmtId="0" fontId="8" fillId="4" borderId="3" xfId="3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8" fillId="4" borderId="85" xfId="3" applyFont="1" applyFill="1" applyBorder="1" applyAlignment="1">
      <alignment horizontal="right" vertical="center"/>
    </xf>
    <xf numFmtId="0" fontId="8" fillId="4" borderId="84" xfId="3" applyFont="1" applyFill="1" applyBorder="1" applyAlignment="1">
      <alignment horizontal="right" vertical="center"/>
    </xf>
    <xf numFmtId="49" fontId="6" fillId="0" borderId="0" xfId="3" applyNumberFormat="1" applyFont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3" applyFont="1" applyAlignment="1">
      <alignment horizontal="left" vertical="center" wrapText="1"/>
    </xf>
    <xf numFmtId="10" fontId="14" fillId="0" borderId="0" xfId="0" applyNumberFormat="1" applyFont="1" applyAlignment="1">
      <alignment horizontal="left" vertical="center" wrapText="1"/>
    </xf>
    <xf numFmtId="0" fontId="2" fillId="0" borderId="86" xfId="9" applyFont="1" applyBorder="1" applyAlignment="1">
      <alignment horizontal="center"/>
    </xf>
    <xf numFmtId="0" fontId="2" fillId="0" borderId="87" xfId="9" applyFont="1" applyBorder="1" applyAlignment="1">
      <alignment horizontal="center"/>
    </xf>
    <xf numFmtId="0" fontId="2" fillId="0" borderId="88" xfId="9" applyFont="1" applyBorder="1" applyAlignment="1">
      <alignment horizontal="center"/>
    </xf>
    <xf numFmtId="176" fontId="2" fillId="0" borderId="86" xfId="9" applyNumberFormat="1" applyBorder="1" applyAlignment="1">
      <alignment horizontal="center"/>
    </xf>
    <xf numFmtId="176" fontId="2" fillId="0" borderId="87" xfId="9" applyNumberFormat="1" applyBorder="1" applyAlignment="1">
      <alignment horizontal="center"/>
    </xf>
    <xf numFmtId="176" fontId="2" fillId="0" borderId="88" xfId="9" applyNumberFormat="1" applyBorder="1" applyAlignment="1">
      <alignment horizontal="center"/>
    </xf>
    <xf numFmtId="0" fontId="25" fillId="0" borderId="0" xfId="9" applyFont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167" fontId="14" fillId="4" borderId="1" xfId="1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210" fontId="2" fillId="0" borderId="0" xfId="3" applyNumberFormat="1" applyAlignment="1">
      <alignment horizontal="right"/>
    </xf>
    <xf numFmtId="0" fontId="92" fillId="0" borderId="105" xfId="0" applyFont="1" applyBorder="1" applyAlignment="1">
      <alignment horizontal="left" vertical="center"/>
    </xf>
    <xf numFmtId="0" fontId="92" fillId="0" borderId="23" xfId="0" applyFont="1" applyBorder="1" applyAlignment="1">
      <alignment horizontal="left" vertical="center"/>
    </xf>
    <xf numFmtId="0" fontId="90" fillId="0" borderId="44" xfId="0" applyFont="1" applyBorder="1" applyAlignment="1">
      <alignment horizontal="center" vertical="center" wrapText="1"/>
    </xf>
    <xf numFmtId="0" fontId="90" fillId="0" borderId="45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2" fillId="0" borderId="91" xfId="0" applyFont="1" applyBorder="1" applyAlignment="1">
      <alignment horizontal="center" vertical="center"/>
    </xf>
    <xf numFmtId="0" fontId="92" fillId="0" borderId="92" xfId="0" applyFont="1" applyBorder="1" applyAlignment="1">
      <alignment horizontal="center" vertical="center"/>
    </xf>
  </cellXfs>
  <cellStyles count="520">
    <cellStyle name="0.0" xfId="15"/>
    <cellStyle name="12" xfId="16"/>
    <cellStyle name="12 2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Ênfase1 2" xfId="479"/>
    <cellStyle name="20% - Ênfase2 2" xfId="480"/>
    <cellStyle name="20% - Ênfase3 2" xfId="481"/>
    <cellStyle name="20% - Ênfase4 2" xfId="482"/>
    <cellStyle name="20% - Ênfase5 2" xfId="483"/>
    <cellStyle name="20% - Ênfase6 2" xfId="484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485"/>
    <cellStyle name="40% - Ênfase2 2" xfId="486"/>
    <cellStyle name="40% - Ênfase3 2" xfId="487"/>
    <cellStyle name="40% - Ênfase4 2" xfId="488"/>
    <cellStyle name="40% - Ênfase5 2" xfId="489"/>
    <cellStyle name="40% - Ênfase6 2" xfId="49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Ênfase1 2" xfId="491"/>
    <cellStyle name="60% - Ênfase2 2" xfId="492"/>
    <cellStyle name="60% - Ênfase3 2" xfId="493"/>
    <cellStyle name="60% - Ênfase4 2" xfId="494"/>
    <cellStyle name="60% - Ênfase5 2" xfId="495"/>
    <cellStyle name="60% - Ênfase6 2" xfId="496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Bom 2" xfId="497"/>
    <cellStyle name="Cabe‡alho 1" xfId="43"/>
    <cellStyle name="Cabe‡alho 2" xfId="44"/>
    <cellStyle name="CABEÇALHO" xfId="45"/>
    <cellStyle name="Cabeçalho 1" xfId="46"/>
    <cellStyle name="Cabeçalho 2" xfId="47"/>
    <cellStyle name="CABEÇALHO_13ª Medição Interna(AC)" xfId="48"/>
    <cellStyle name="Calculation" xfId="49"/>
    <cellStyle name="Cálculo 2" xfId="498"/>
    <cellStyle name="Célula de Verificação 2" xfId="499"/>
    <cellStyle name="Célula Vinculada 2" xfId="500"/>
    <cellStyle name="Check Cell" xfId="50"/>
    <cellStyle name="Código" xfId="51"/>
    <cellStyle name="Comma" xfId="52"/>
    <cellStyle name="Comma0" xfId="53"/>
    <cellStyle name="Comma0 - Modelo1" xfId="54"/>
    <cellStyle name="Comma0 - Style1" xfId="55"/>
    <cellStyle name="Comma1 - Modelo2" xfId="56"/>
    <cellStyle name="Comma1 - Style2" xfId="57"/>
    <cellStyle name="Currency" xfId="58"/>
    <cellStyle name="Currency [0]_1995" xfId="59"/>
    <cellStyle name="Currency_(1MP)_Ago09 corrigida" xfId="60"/>
    <cellStyle name="Currency0" xfId="61"/>
    <cellStyle name="Data" xfId="62"/>
    <cellStyle name="Data 2" xfId="63"/>
    <cellStyle name="Date" xfId="64"/>
    <cellStyle name="Descrição" xfId="65"/>
    <cellStyle name="Dia" xfId="66"/>
    <cellStyle name="Encabez1" xfId="67"/>
    <cellStyle name="Encabez2" xfId="68"/>
    <cellStyle name="Ênfase1 2" xfId="501"/>
    <cellStyle name="Ênfase2 2" xfId="502"/>
    <cellStyle name="Ênfase3 2" xfId="503"/>
    <cellStyle name="Ênfase4 2" xfId="504"/>
    <cellStyle name="Ênfase5 2" xfId="505"/>
    <cellStyle name="Ênfase6 2" xfId="506"/>
    <cellStyle name="Entrada 2" xfId="507"/>
    <cellStyle name="Estilo 1" xfId="69"/>
    <cellStyle name="Euro" xfId="70"/>
    <cellStyle name="Euro 2" xfId="71"/>
    <cellStyle name="Excel Built-in Normal" xfId="72"/>
    <cellStyle name="Explanatory Text" xfId="73"/>
    <cellStyle name="F2" xfId="74"/>
    <cellStyle name="F3" xfId="75"/>
    <cellStyle name="F4" xfId="76"/>
    <cellStyle name="F5" xfId="77"/>
    <cellStyle name="F6" xfId="78"/>
    <cellStyle name="F7" xfId="79"/>
    <cellStyle name="F8" xfId="80"/>
    <cellStyle name="Fijo" xfId="81"/>
    <cellStyle name="Financiero" xfId="82"/>
    <cellStyle name="Fixed" xfId="83"/>
    <cellStyle name="Fixo" xfId="84"/>
    <cellStyle name="Fixo 2" xfId="85"/>
    <cellStyle name="Good" xfId="86"/>
    <cellStyle name="Heading 1" xfId="87"/>
    <cellStyle name="Heading 2" xfId="88"/>
    <cellStyle name="Heading 3" xfId="89"/>
    <cellStyle name="Heading 4" xfId="90"/>
    <cellStyle name="Incorreto 2" xfId="508"/>
    <cellStyle name="Indefinido" xfId="91"/>
    <cellStyle name="Indefinido 2" xfId="92"/>
    <cellStyle name="Input" xfId="93"/>
    <cellStyle name="LINHA - NORM" xfId="94"/>
    <cellStyle name="Linked Cell" xfId="95"/>
    <cellStyle name="Moeda" xfId="477" builtinId="4"/>
    <cellStyle name="Moeda 10" xfId="96"/>
    <cellStyle name="Moeda 11" xfId="97"/>
    <cellStyle name="Moeda 12" xfId="98"/>
    <cellStyle name="Moeda 13" xfId="99"/>
    <cellStyle name="Moeda 13 2" xfId="100"/>
    <cellStyle name="Moeda 13 3" xfId="101"/>
    <cellStyle name="Moeda 16" xfId="102"/>
    <cellStyle name="Moeda 2" xfId="103"/>
    <cellStyle name="Moeda 2 2" xfId="104"/>
    <cellStyle name="Moeda 2 3" xfId="105"/>
    <cellStyle name="Moeda 2 4" xfId="106"/>
    <cellStyle name="Moeda 2 5" xfId="14"/>
    <cellStyle name="Moeda 2_(1MP)_Ago09 corrigida" xfId="107"/>
    <cellStyle name="Moeda 3" xfId="108"/>
    <cellStyle name="Moeda 3 2" xfId="109"/>
    <cellStyle name="Moeda 3 3" xfId="110"/>
    <cellStyle name="Moeda 3_(1MP)_Ago09 corrigida" xfId="111"/>
    <cellStyle name="Moeda 4" xfId="112"/>
    <cellStyle name="Moeda 4 2" xfId="113"/>
    <cellStyle name="Moeda 4_Cálculo de IGG - IGGE" xfId="114"/>
    <cellStyle name="Moeda 5" xfId="115"/>
    <cellStyle name="Moeda 5 2" xfId="116"/>
    <cellStyle name="Moeda 6" xfId="117"/>
    <cellStyle name="Moeda 7" xfId="118"/>
    <cellStyle name="Moeda 8" xfId="119"/>
    <cellStyle name="Moeda 9" xfId="120"/>
    <cellStyle name="Moeda 9 2" xfId="11"/>
    <cellStyle name="Moeda0" xfId="121"/>
    <cellStyle name="Monetario" xfId="122"/>
    <cellStyle name="mpenho" xfId="123"/>
    <cellStyle name="Neutra 2" xfId="509"/>
    <cellStyle name="Neutral" xfId="124"/>
    <cellStyle name="no dec" xfId="125"/>
    <cellStyle name="Normal" xfId="0" builtinId="0"/>
    <cellStyle name="Normal 10" xfId="126"/>
    <cellStyle name="Normal 10 2" xfId="127"/>
    <cellStyle name="Normal 10 3" xfId="128"/>
    <cellStyle name="Normal 10 4" xfId="129"/>
    <cellStyle name="Normal 10_CREMA - CÁCERES - PORTO ESPERIDIÃO" xfId="130"/>
    <cellStyle name="Normal 11" xfId="131"/>
    <cellStyle name="Normal 11 2" xfId="132"/>
    <cellStyle name="Normal 11 3" xfId="133"/>
    <cellStyle name="Normal 11 4" xfId="134"/>
    <cellStyle name="Normal 11_CREMA - CÁCERES - PORTO ESPERIDIÃO" xfId="135"/>
    <cellStyle name="Normal 12" xfId="136"/>
    <cellStyle name="Normal 12 2" xfId="137"/>
    <cellStyle name="Normal 12 3" xfId="138"/>
    <cellStyle name="Normal 12 4" xfId="139"/>
    <cellStyle name="Normal 12 5" xfId="140"/>
    <cellStyle name="Normal 13" xfId="141"/>
    <cellStyle name="Normal 14" xfId="142"/>
    <cellStyle name="Normal 14 2" xfId="143"/>
    <cellStyle name="Normal 14 3" xfId="144"/>
    <cellStyle name="Normal 14 4" xfId="145"/>
    <cellStyle name="Normal 15" xfId="146"/>
    <cellStyle name="Normal 16" xfId="147"/>
    <cellStyle name="Normal 17" xfId="148"/>
    <cellStyle name="Normal 18" xfId="149"/>
    <cellStyle name="Normal 19" xfId="150"/>
    <cellStyle name="Normal 2" xfId="3"/>
    <cellStyle name="Normal 2 2" xfId="151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0" xfId="163"/>
    <cellStyle name="Normal 2 2 21" xfId="164"/>
    <cellStyle name="Normal 2 2 22" xfId="165"/>
    <cellStyle name="Normal 2 2 23" xfId="166"/>
    <cellStyle name="Normal 2 2 24" xfId="167"/>
    <cellStyle name="Normal 2 2 25" xfId="168"/>
    <cellStyle name="Normal 2 2 3" xfId="169"/>
    <cellStyle name="Normal 2 2 4" xfId="170"/>
    <cellStyle name="Normal 2 2 5" xfId="171"/>
    <cellStyle name="Normal 2 2 6" xfId="172"/>
    <cellStyle name="Normal 2 2 7" xfId="173"/>
    <cellStyle name="Normal 2 2 8" xfId="174"/>
    <cellStyle name="Normal 2 2 9" xfId="175"/>
    <cellStyle name="Normal 2 2_(1MP)_Ago09 corrigida" xfId="176"/>
    <cellStyle name="Normal 2 3" xfId="177"/>
    <cellStyle name="Normal 2 4" xfId="178"/>
    <cellStyle name="Normal 2 4 10" xfId="179"/>
    <cellStyle name="Normal 2 4 11" xfId="180"/>
    <cellStyle name="Normal 2 4 12" xfId="181"/>
    <cellStyle name="Normal 2 4 13" xfId="182"/>
    <cellStyle name="Normal 2 4 2" xfId="183"/>
    <cellStyle name="Normal 2 4 3" xfId="184"/>
    <cellStyle name="Normal 2 4 4" xfId="185"/>
    <cellStyle name="Normal 2 4 5" xfId="186"/>
    <cellStyle name="Normal 2 4 6" xfId="187"/>
    <cellStyle name="Normal 2 4 7" xfId="188"/>
    <cellStyle name="Normal 2 4 8" xfId="189"/>
    <cellStyle name="Normal 2 4 9" xfId="190"/>
    <cellStyle name="Normal 2 5" xfId="191"/>
    <cellStyle name="Normal 2 5 10" xfId="192"/>
    <cellStyle name="Normal 2 5 11" xfId="193"/>
    <cellStyle name="Normal 2 5 12" xfId="194"/>
    <cellStyle name="Normal 2 5 13" xfId="195"/>
    <cellStyle name="Normal 2 5 2" xfId="196"/>
    <cellStyle name="Normal 2 5 3" xfId="197"/>
    <cellStyle name="Normal 2 5 4" xfId="198"/>
    <cellStyle name="Normal 2 5 5" xfId="199"/>
    <cellStyle name="Normal 2 5 6" xfId="200"/>
    <cellStyle name="Normal 2 5 7" xfId="201"/>
    <cellStyle name="Normal 2 5 8" xfId="202"/>
    <cellStyle name="Normal 2 5 9" xfId="203"/>
    <cellStyle name="Normal 2 6" xfId="204"/>
    <cellStyle name="Normal 2 6 10" xfId="205"/>
    <cellStyle name="Normal 2 6 11" xfId="206"/>
    <cellStyle name="Normal 2 6 12" xfId="207"/>
    <cellStyle name="Normal 2 6 13" xfId="208"/>
    <cellStyle name="Normal 2 6 2" xfId="209"/>
    <cellStyle name="Normal 2 6 3" xfId="210"/>
    <cellStyle name="Normal 2 6 4" xfId="211"/>
    <cellStyle name="Normal 2 6 5" xfId="212"/>
    <cellStyle name="Normal 2 6 6" xfId="213"/>
    <cellStyle name="Normal 2 6 7" xfId="214"/>
    <cellStyle name="Normal 2 6 8" xfId="215"/>
    <cellStyle name="Normal 2 6 9" xfId="216"/>
    <cellStyle name="Normal 2 7" xfId="217"/>
    <cellStyle name="Normal 2 7 10" xfId="218"/>
    <cellStyle name="Normal 2 7 11" xfId="219"/>
    <cellStyle name="Normal 2 7 12" xfId="220"/>
    <cellStyle name="Normal 2 7 13" xfId="221"/>
    <cellStyle name="Normal 2 7 2" xfId="222"/>
    <cellStyle name="Normal 2 7 3" xfId="223"/>
    <cellStyle name="Normal 2 7 4" xfId="224"/>
    <cellStyle name="Normal 2 7 5" xfId="225"/>
    <cellStyle name="Normal 2 7 6" xfId="226"/>
    <cellStyle name="Normal 2 7 7" xfId="227"/>
    <cellStyle name="Normal 2 7 8" xfId="228"/>
    <cellStyle name="Normal 2 7 9" xfId="229"/>
    <cellStyle name="Normal 2 8" xfId="230"/>
    <cellStyle name="Normal 2 8 10" xfId="231"/>
    <cellStyle name="Normal 2 8 11" xfId="232"/>
    <cellStyle name="Normal 2 8 12" xfId="233"/>
    <cellStyle name="Normal 2 8 13" xfId="234"/>
    <cellStyle name="Normal 2 8 2" xfId="235"/>
    <cellStyle name="Normal 2 8 3" xfId="236"/>
    <cellStyle name="Normal 2 8 4" xfId="237"/>
    <cellStyle name="Normal 2 8 5" xfId="238"/>
    <cellStyle name="Normal 2 8 6" xfId="239"/>
    <cellStyle name="Normal 2 8 7" xfId="240"/>
    <cellStyle name="Normal 2 8 8" xfId="241"/>
    <cellStyle name="Normal 2 8 9" xfId="242"/>
    <cellStyle name="Normal 2_(1MP)_Ago09 corrigida" xfId="243"/>
    <cellStyle name="Normal 20" xfId="244"/>
    <cellStyle name="Normal 21" xfId="245"/>
    <cellStyle name="Normal 22" xfId="246"/>
    <cellStyle name="Normal 23" xfId="247"/>
    <cellStyle name="Normal 24" xfId="248"/>
    <cellStyle name="Normal 3" xfId="6"/>
    <cellStyle name="Normal 3 10" xfId="249"/>
    <cellStyle name="Normal 3 11" xfId="250"/>
    <cellStyle name="Normal 3 12" xfId="251"/>
    <cellStyle name="Normal 3 13" xfId="252"/>
    <cellStyle name="Normal 3 14" xfId="253"/>
    <cellStyle name="Normal 3 15" xfId="254"/>
    <cellStyle name="Normal 3 16" xfId="255"/>
    <cellStyle name="Normal 3 17" xfId="256"/>
    <cellStyle name="Normal 3 18" xfId="257"/>
    <cellStyle name="Normal 3 19" xfId="258"/>
    <cellStyle name="Normal 3 2" xfId="259"/>
    <cellStyle name="Normal 3 2 2" xfId="260"/>
    <cellStyle name="Normal 3 20" xfId="261"/>
    <cellStyle name="Normal 3 21" xfId="262"/>
    <cellStyle name="Normal 3 22" xfId="263"/>
    <cellStyle name="Normal 3 23" xfId="264"/>
    <cellStyle name="Normal 3 24" xfId="265"/>
    <cellStyle name="Normal 3 3" xfId="266"/>
    <cellStyle name="Normal 3 4" xfId="267"/>
    <cellStyle name="Normal 3 5" xfId="268"/>
    <cellStyle name="Normal 3 6" xfId="269"/>
    <cellStyle name="Normal 3 7" xfId="270"/>
    <cellStyle name="Normal 3 8" xfId="271"/>
    <cellStyle name="Normal 3 9" xfId="272"/>
    <cellStyle name="Normal 3_(1MP)_Ago09 corrigida" xfId="273"/>
    <cellStyle name="Normal 36" xfId="274"/>
    <cellStyle name="Normal 4" xfId="275"/>
    <cellStyle name="Normal 4 2" xfId="276"/>
    <cellStyle name="Normal 4 2 2" xfId="277"/>
    <cellStyle name="Normal 4 3" xfId="278"/>
    <cellStyle name="Normal 4_(1MP)_Ago09 corrigida" xfId="279"/>
    <cellStyle name="Normal 5" xfId="280"/>
    <cellStyle name="Normal 5 2" xfId="281"/>
    <cellStyle name="Normal 5 3" xfId="282"/>
    <cellStyle name="Normal 5 4" xfId="283"/>
    <cellStyle name="Normal 5 5" xfId="284"/>
    <cellStyle name="Normal 5_CREMA 1ª ETAPA - PORTO ESPERIDIÃO - PONTES E LACERDA FINAL" xfId="285"/>
    <cellStyle name="Normal 6" xfId="286"/>
    <cellStyle name="Normal 6 2" xfId="287"/>
    <cellStyle name="Normal 6 3" xfId="288"/>
    <cellStyle name="Normal 6 4" xfId="289"/>
    <cellStyle name="Normal 6 5" xfId="290"/>
    <cellStyle name="Normal 7" xfId="291"/>
    <cellStyle name="Normal 7 2" xfId="292"/>
    <cellStyle name="Normal 7 3" xfId="293"/>
    <cellStyle name="Normal 7 4" xfId="294"/>
    <cellStyle name="Normal 7 5" xfId="295"/>
    <cellStyle name="Normal 7_(1MP)_Ago09 corrigida" xfId="296"/>
    <cellStyle name="Normal 8" xfId="297"/>
    <cellStyle name="Normal 8 2" xfId="298"/>
    <cellStyle name="Normal 8 3" xfId="299"/>
    <cellStyle name="Normal 8 4" xfId="300"/>
    <cellStyle name="Normal 9" xfId="301"/>
    <cellStyle name="Normal 9 2" xfId="302"/>
    <cellStyle name="Normal 9 3" xfId="303"/>
    <cellStyle name="Normal 9 4" xfId="304"/>
    <cellStyle name="Normal 9 5" xfId="305"/>
    <cellStyle name="Normal 9_CREMA 1ª ETAPA - PORTO ESPERIDIÃO - PONTES E LACERDA FINAL" xfId="306"/>
    <cellStyle name="Normal_Pesquisa no referencial 10 de maio de 2013" xfId="478"/>
    <cellStyle name="Normal_TRANSPORTE_QUENTE_E_FRIO" xfId="9"/>
    <cellStyle name="Nota 2" xfId="510"/>
    <cellStyle name="Note" xfId="307"/>
    <cellStyle name="Numeração" xfId="308"/>
    <cellStyle name="Numero" xfId="309"/>
    <cellStyle name="Output" xfId="310"/>
    <cellStyle name="Percent" xfId="311"/>
    <cellStyle name="Percentual" xfId="312"/>
    <cellStyle name="Ponto" xfId="313"/>
    <cellStyle name="Porcentagem" xfId="2" builtinId="5"/>
    <cellStyle name="Porcentagem 2" xfId="4"/>
    <cellStyle name="Porcentagem 2 10" xfId="314"/>
    <cellStyle name="Porcentagem 2 11" xfId="315"/>
    <cellStyle name="Porcentagem 2 12" xfId="316"/>
    <cellStyle name="Porcentagem 2 13" xfId="317"/>
    <cellStyle name="Porcentagem 2 14" xfId="318"/>
    <cellStyle name="Porcentagem 2 15" xfId="319"/>
    <cellStyle name="Porcentagem 2 16" xfId="320"/>
    <cellStyle name="Porcentagem 2 17" xfId="321"/>
    <cellStyle name="Porcentagem 2 2" xfId="322"/>
    <cellStyle name="Porcentagem 2 2 2" xfId="323"/>
    <cellStyle name="Porcentagem 2 3" xfId="324"/>
    <cellStyle name="Porcentagem 2 4" xfId="325"/>
    <cellStyle name="Porcentagem 2 5" xfId="326"/>
    <cellStyle name="Porcentagem 2 6" xfId="327"/>
    <cellStyle name="Porcentagem 2 7" xfId="328"/>
    <cellStyle name="Porcentagem 2 8" xfId="329"/>
    <cellStyle name="Porcentagem 2 9" xfId="330"/>
    <cellStyle name="Porcentagem 2_(1MP)_Ago09 corrigida" xfId="331"/>
    <cellStyle name="Porcentagem 3" xfId="7"/>
    <cellStyle name="Porcentagem 3 2" xfId="332"/>
    <cellStyle name="Porcentagem 3 3" xfId="333"/>
    <cellStyle name="Porcentagem 4" xfId="334"/>
    <cellStyle name="Porcentagem 4 2" xfId="335"/>
    <cellStyle name="Porcentagem 4 3" xfId="336"/>
    <cellStyle name="Porcentagem 5" xfId="337"/>
    <cellStyle name="Porcentagem 5 2" xfId="338"/>
    <cellStyle name="Porcentagem 6" xfId="339"/>
    <cellStyle name="Porcentagem 6 2" xfId="340"/>
    <cellStyle name="Porcentagem 7" xfId="341"/>
    <cellStyle name="Porcentagem 8" xfId="342"/>
    <cellStyle name="Porcentaje" xfId="343"/>
    <cellStyle name="RM" xfId="344"/>
    <cellStyle name="Saída 2" xfId="511"/>
    <cellStyle name="Sep. milhar [0]" xfId="345"/>
    <cellStyle name="Separador de m" xfId="346"/>
    <cellStyle name="Separador de milhares" xfId="1" builtinId="3"/>
    <cellStyle name="Separador de milhares 10" xfId="347"/>
    <cellStyle name="Separador de milhares 10 3" xfId="348"/>
    <cellStyle name="Separador de milhares 11" xfId="349"/>
    <cellStyle name="Separador de milhares 12" xfId="350"/>
    <cellStyle name="Separador de milhares 12 2" xfId="13"/>
    <cellStyle name="Separador de milhares 12_comp sicro mt setembro 2010 - brita corrigida" xfId="351"/>
    <cellStyle name="Separador de milhares 13" xfId="352"/>
    <cellStyle name="Separador de milhares 14" xfId="353"/>
    <cellStyle name="Separador de milhares 14 2" xfId="354"/>
    <cellStyle name="Separador de milhares 14 2 2" xfId="355"/>
    <cellStyle name="Separador de milhares 14_comp sicro mt setembro 2010 - brita corrigida" xfId="356"/>
    <cellStyle name="Separador de milhares 15" xfId="357"/>
    <cellStyle name="Separador de milhares 15 2" xfId="358"/>
    <cellStyle name="Separador de milhares 16" xfId="359"/>
    <cellStyle name="Separador de milhares 17" xfId="360"/>
    <cellStyle name="Separador de milhares 17 2" xfId="361"/>
    <cellStyle name="Separador de milhares 17 3" xfId="362"/>
    <cellStyle name="Separador de milhares 17 4" xfId="363"/>
    <cellStyle name="Separador de milhares 17_comp sicro mt setembro 2010 - brita corrigida" xfId="364"/>
    <cellStyle name="Separador de milhares 18" xfId="365"/>
    <cellStyle name="Separador de milhares 18 2" xfId="366"/>
    <cellStyle name="Separador de milhares 18_comp sicro mt setembro 2010 - brita corrigida" xfId="367"/>
    <cellStyle name="Separador de milhares 19" xfId="368"/>
    <cellStyle name="Separador de milhares 19 2" xfId="10"/>
    <cellStyle name="Separador de milhares 19_PATO_km614,4_km799,3 - rev07 - sicro mt set -10 (alt betuminosos)" xfId="369"/>
    <cellStyle name="Separador de milhares 2" xfId="5"/>
    <cellStyle name="Separador de milhares 2 10" xfId="370"/>
    <cellStyle name="Separador de milhares 2 11" xfId="371"/>
    <cellStyle name="Separador de milhares 2 12" xfId="372"/>
    <cellStyle name="Separador de milhares 2 13" xfId="373"/>
    <cellStyle name="Separador de milhares 2 14" xfId="374"/>
    <cellStyle name="Separador de milhares 2 15" xfId="375"/>
    <cellStyle name="Separador de milhares 2 16" xfId="376"/>
    <cellStyle name="Separador de milhares 2 17" xfId="377"/>
    <cellStyle name="Separador de milhares 2 2" xfId="378"/>
    <cellStyle name="Separador de milhares 2 2 2" xfId="379"/>
    <cellStyle name="Separador de milhares 2 2 3" xfId="380"/>
    <cellStyle name="Separador de milhares 2 3" xfId="381"/>
    <cellStyle name="Separador de milhares 2 3 2" xfId="382"/>
    <cellStyle name="Separador de milhares 2 4" xfId="383"/>
    <cellStyle name="Separador de milhares 2 4 2" xfId="384"/>
    <cellStyle name="Separador de milhares 2 5" xfId="385"/>
    <cellStyle name="Separador de milhares 2 6" xfId="386"/>
    <cellStyle name="Separador de milhares 2 7" xfId="387"/>
    <cellStyle name="Separador de milhares 2 8" xfId="388"/>
    <cellStyle name="Separador de milhares 2 9" xfId="389"/>
    <cellStyle name="Separador de milhares 2_(1MP)_Ago09 corrigida" xfId="390"/>
    <cellStyle name="Separador de milhares 20" xfId="391"/>
    <cellStyle name="Separador de milhares 21" xfId="392"/>
    <cellStyle name="Separador de milhares 22" xfId="393"/>
    <cellStyle name="Separador de milhares 23" xfId="394"/>
    <cellStyle name="Separador de milhares 23 2" xfId="395"/>
    <cellStyle name="Separador de milhares 24" xfId="396"/>
    <cellStyle name="Separador de milhares 25" xfId="397"/>
    <cellStyle name="Separador de milhares 26" xfId="398"/>
    <cellStyle name="Separador de milhares 26 2" xfId="399"/>
    <cellStyle name="Separador de milhares 27" xfId="400"/>
    <cellStyle name="Separador de milhares 28" xfId="401"/>
    <cellStyle name="Separador de milhares 3" xfId="8"/>
    <cellStyle name="Separador de milhares 3 2" xfId="402"/>
    <cellStyle name="Separador de milhares 3 2 2" xfId="403"/>
    <cellStyle name="Separador de milhares 3 2 3" xfId="404"/>
    <cellStyle name="Separador de milhares 3 2 4" xfId="405"/>
    <cellStyle name="Separador de milhares 3 2 4 2" xfId="406"/>
    <cellStyle name="Separador de milhares 3 3" xfId="407"/>
    <cellStyle name="Separador de milhares 3 4" xfId="408"/>
    <cellStyle name="Separador de milhares 3 5" xfId="409"/>
    <cellStyle name="Separador de milhares 3_(1MP)_Ago09 corrigida" xfId="410"/>
    <cellStyle name="Separador de milhares 4" xfId="411"/>
    <cellStyle name="Separador de milhares 4 2" xfId="412"/>
    <cellStyle name="Separador de milhares 4 3" xfId="413"/>
    <cellStyle name="Separador de milhares 4 4" xfId="414"/>
    <cellStyle name="Separador de milhares 4 5" xfId="415"/>
    <cellStyle name="Separador de milhares 4_(1MP)_Ago09 corrigida" xfId="416"/>
    <cellStyle name="Separador de milhares 5" xfId="417"/>
    <cellStyle name="Separador de milhares 5 2" xfId="418"/>
    <cellStyle name="Separador de milhares 5 2 2" xfId="419"/>
    <cellStyle name="Separador de milhares 5 2 3" xfId="420"/>
    <cellStyle name="Separador de milhares 5 3" xfId="421"/>
    <cellStyle name="Separador de milhares 5 4" xfId="422"/>
    <cellStyle name="Separador de milhares 5 5" xfId="423"/>
    <cellStyle name="Separador de milhares 5_(1MP)_Ago09 corrigida" xfId="424"/>
    <cellStyle name="Separador de milhares 6" xfId="425"/>
    <cellStyle name="Separador de milhares 6 2" xfId="426"/>
    <cellStyle name="Separador de milhares 6 2 2" xfId="427"/>
    <cellStyle name="Separador de milhares 6 3" xfId="428"/>
    <cellStyle name="Separador de milhares 6 4" xfId="429"/>
    <cellStyle name="Separador de milhares 6 5" xfId="430"/>
    <cellStyle name="Separador de milhares 6 6" xfId="431"/>
    <cellStyle name="Separador de milhares 6 7" xfId="432"/>
    <cellStyle name="Separador de milhares 6_(1MP)_Ago09 corrigida" xfId="433"/>
    <cellStyle name="Separador de milhares 7" xfId="434"/>
    <cellStyle name="Separador de milhares 7 2" xfId="435"/>
    <cellStyle name="Separador de milhares 7_comp sicro mt setembro 2010 - brita corrigida" xfId="436"/>
    <cellStyle name="Separador de milhares 8" xfId="437"/>
    <cellStyle name="Separador de milhares 8 2" xfId="438"/>
    <cellStyle name="Separador de milhares 8_(1MP)_Ago09 corrigida" xfId="439"/>
    <cellStyle name="Separador de milhares 9" xfId="440"/>
    <cellStyle name="Separador de milhares 9 2" xfId="441"/>
    <cellStyle name="Separador de milhares_TRANSPORTE_QUENTE_E_FRIO" xfId="12"/>
    <cellStyle name="SSS" xfId="442"/>
    <cellStyle name="SUB-TOT" xfId="443"/>
    <cellStyle name="sub-total" xfId="444"/>
    <cellStyle name="SUMA PARCIAL" xfId="445"/>
    <cellStyle name="Texto de Aviso 2" xfId="512"/>
    <cellStyle name="Texto Explicativo 2" xfId="513"/>
    <cellStyle name="Title" xfId="446"/>
    <cellStyle name="Titulo 1" xfId="447"/>
    <cellStyle name="Título 1 1" xfId="448"/>
    <cellStyle name="Título 1 1 1" xfId="449"/>
    <cellStyle name="Título 1 1_(1MP)_Ago09 corrigida" xfId="450"/>
    <cellStyle name="Titulo 1 2" xfId="451"/>
    <cellStyle name="Título 1 2" xfId="514"/>
    <cellStyle name="Titulo 2" xfId="452"/>
    <cellStyle name="Titulo 2 2" xfId="453"/>
    <cellStyle name="Título 2 2" xfId="515"/>
    <cellStyle name="Título 3 2" xfId="516"/>
    <cellStyle name="Título 4 2" xfId="517"/>
    <cellStyle name="Título 5" xfId="518"/>
    <cellStyle name="Titulo1" xfId="454"/>
    <cellStyle name="Titulo2" xfId="455"/>
    <cellStyle name="Total 2" xfId="519"/>
    <cellStyle name="un" xfId="456"/>
    <cellStyle name="V¡rgula" xfId="457"/>
    <cellStyle name="V¡rgula0" xfId="458"/>
    <cellStyle name="Vírgula 2" xfId="459"/>
    <cellStyle name="Vírgula 2 2" xfId="460"/>
    <cellStyle name="Vírgula 2 2 2" xfId="461"/>
    <cellStyle name="Vírgula 2 3" xfId="462"/>
    <cellStyle name="Vírgula 2 3 2" xfId="463"/>
    <cellStyle name="Vírgula 2 4" xfId="464"/>
    <cellStyle name="Vírgula 2 4 2" xfId="465"/>
    <cellStyle name="Vírgula 3" xfId="466"/>
    <cellStyle name="Vírgula 4" xfId="467"/>
    <cellStyle name="Vírgula 4 2" xfId="468"/>
    <cellStyle name="Vírgula 5" xfId="469"/>
    <cellStyle name="Vírgula 5 2" xfId="470"/>
    <cellStyle name="Vírgula 6" xfId="471"/>
    <cellStyle name="Vírgula 6 2" xfId="472"/>
    <cellStyle name="Vírgula 7" xfId="473"/>
    <cellStyle name="Vírgula 8" xfId="474"/>
    <cellStyle name="Vírgula0" xfId="475"/>
    <cellStyle name="Warning Text" xfId="476"/>
  </cellStyles>
  <dxfs count="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7</xdr:col>
      <xdr:colOff>38100</xdr:colOff>
      <xdr:row>29</xdr:row>
      <xdr:rowOff>95754</xdr:rowOff>
    </xdr:to>
    <xdr:pic>
      <xdr:nvPicPr>
        <xdr:cNvPr id="3" name="Imagem 2" descr="Portaria 107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1825"/>
          <a:ext cx="4505325" cy="1553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20</xdr:row>
      <xdr:rowOff>38100</xdr:rowOff>
    </xdr:from>
    <xdr:to>
      <xdr:col>1</xdr:col>
      <xdr:colOff>1409700</xdr:colOff>
      <xdr:row>21</xdr:row>
      <xdr:rowOff>190500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5381625"/>
          <a:ext cx="2886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%20corixa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top%20-%20Arquivos\DNIT\PATOs\Rondon&#243;polis\PATO_BR-364_km_000_ao_km_11290_LICITA&#199;&#195;O%20MAIO%20DE%202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%20corixa%20f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BSA00535\dyna01\ClaudioFerreira\Excel\OR96088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ENPA\Estudos\Mato%20Grosso\PATO%20BR-364\PATO%20BR-36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ONARDO\01_SEDUC\01_Boletins\Boletim_JUN2005_R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\Projeto\WINDOWS\Temporary%20Internet%20Files\Content.IE5\Q9YZIJ83\file:\A:\TERCIO\BR%20163%20REST%20set%202003\DEISI\Or%25C3%25A7amento%20Sta%20Helena%20Guaran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3\025%20-%20GALERIAS%20FINAL%20AV.%20PORTO%20ALEGRE\GALERIAS%20FINAL%20AV%20PORTO%20ALEGRE%20-%20%20PLANILHA%20OR&#199;AMENTARIA%20(10-06-201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5\001%20-%20DREANAGEM%20PLUVIAL%20AV.%20FLORIANOPOLIS\dren_floripa_OR&#199;AMENTO_(V.002)%20atualizado%20em%2022-11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uriney\c\Meus%20documentos\geosolo\1&#170;%20M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7\004%20-%20REFORMA%20PISO%20GINASIO%20PIAN&#195;O%20(PROJETO)\Reforma%20Quadra%20Poliesportiva%20Pian&#227;o%20-%20OR&#199;AMENTO%20(v.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uriney\c\Meus%20documentos\geosolo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5_2016\Planilha%20Pato%20Etapa%2015_16%20-%20Contrato%20SR_MT%20967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6_2017\Planilha%20Pato%20Etapa%2016_17%20-%20Contrato%20SR_MT%20967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corixa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5_2016\2011\PATO'S\BR158%20-%20%20km%20637%20ao%20697%20(pinda&#237;ba)\antigos\PATO_km614,4_km799,3%20-%20rev06%20-%20sicro%20mt%20set%20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\AppData\Local\Microsoft\Windows\Temporary%20Internet%20Files\Content.IE5\7Z0Y6V0J\2011\PATO'S\BR158%20-%20%20km%20637%20ao%20697%20(pinda&#237;ba)\antigos\PATO_km614,4_km799,3%20-%20rev06%20-%20sicro%20mt%20set%20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>
        <row r="4">
          <cell r="B4">
            <v>25</v>
          </cell>
        </row>
      </sheetData>
      <sheetData sheetId="71"/>
      <sheetData sheetId="72"/>
      <sheetData sheetId="73" refreshError="1">
        <row r="2">
          <cell r="A2" t="str">
            <v>M105</v>
          </cell>
          <cell r="B2" t="str">
            <v>Emulsão asfática RR-2C</v>
          </cell>
          <cell r="C2">
            <v>0</v>
          </cell>
        </row>
        <row r="3">
          <cell r="A3" t="str">
            <v>M101</v>
          </cell>
          <cell r="B3" t="str">
            <v>Cimento asfáltico CAP-20</v>
          </cell>
          <cell r="C3">
            <v>0</v>
          </cell>
        </row>
        <row r="4">
          <cell r="A4" t="str">
            <v>M103</v>
          </cell>
          <cell r="B4" t="str">
            <v>Asfalto diluído CM-30</v>
          </cell>
          <cell r="C4">
            <v>0</v>
          </cell>
        </row>
        <row r="5">
          <cell r="A5" t="str">
            <v>M202</v>
          </cell>
          <cell r="B5" t="str">
            <v>Cimento pothand CP-32</v>
          </cell>
          <cell r="C5">
            <v>0.26</v>
          </cell>
        </row>
        <row r="6">
          <cell r="A6" t="str">
            <v>M302</v>
          </cell>
          <cell r="B6" t="str">
            <v>Pregos de ferro (18x30)</v>
          </cell>
          <cell r="C6">
            <v>3.99</v>
          </cell>
        </row>
        <row r="7">
          <cell r="A7" t="str">
            <v>M321</v>
          </cell>
          <cell r="B7" t="str">
            <v>Arama farpado n°. 16 galv. simples</v>
          </cell>
          <cell r="C7">
            <v>0.4</v>
          </cell>
        </row>
        <row r="8">
          <cell r="A8" t="str">
            <v>M322</v>
          </cell>
          <cell r="B8" t="str">
            <v>Grampo para cerca galvanizado 1 x 9</v>
          </cell>
          <cell r="C8">
            <v>6.5</v>
          </cell>
        </row>
        <row r="9">
          <cell r="A9" t="str">
            <v>M334</v>
          </cell>
          <cell r="B9" t="str">
            <v>Paraf. Zinc. c/fenda 1 1/2" x 3/16"</v>
          </cell>
          <cell r="C9">
            <v>0.2</v>
          </cell>
        </row>
        <row r="10">
          <cell r="A10" t="str">
            <v>M335</v>
          </cell>
          <cell r="B10" t="str">
            <v>Paraf. Zinc. Francês 4" x 5/16"</v>
          </cell>
          <cell r="C10">
            <v>0.39</v>
          </cell>
        </row>
        <row r="11">
          <cell r="A11" t="str">
            <v>M403</v>
          </cell>
          <cell r="B11" t="str">
            <v>Mourão madeira H=2,15 m D=12 cm</v>
          </cell>
          <cell r="C11">
            <v>12</v>
          </cell>
        </row>
        <row r="12">
          <cell r="A12" t="str">
            <v>M403</v>
          </cell>
          <cell r="B12" t="str">
            <v>Mourão madeira H=2,15 m D=9 cm</v>
          </cell>
          <cell r="C12">
            <v>10</v>
          </cell>
        </row>
        <row r="13">
          <cell r="A13" t="str">
            <v>M406</v>
          </cell>
          <cell r="B13" t="str">
            <v>Caibros de 7,5 cm x 7,5 cm</v>
          </cell>
          <cell r="C13">
            <v>3.1</v>
          </cell>
        </row>
        <row r="14">
          <cell r="A14" t="str">
            <v>M408</v>
          </cell>
          <cell r="B14" t="str">
            <v>Tábua de 5ª 2,5 cm x 30,0 cm</v>
          </cell>
          <cell r="C14">
            <v>4</v>
          </cell>
        </row>
        <row r="15">
          <cell r="A15" t="str">
            <v>M413</v>
          </cell>
          <cell r="B15" t="str">
            <v>Gastalho 10 x 2,5 cm</v>
          </cell>
          <cell r="C15">
            <v>1.9</v>
          </cell>
        </row>
        <row r="16">
          <cell r="A16" t="str">
            <v>M601</v>
          </cell>
          <cell r="B16" t="str">
            <v>Tinta refletiva acrílica p/2 anos</v>
          </cell>
          <cell r="C16">
            <v>12.22</v>
          </cell>
        </row>
        <row r="17">
          <cell r="A17" t="str">
            <v>M602</v>
          </cell>
          <cell r="B17" t="str">
            <v>Adubo NPK (4.14.8)</v>
          </cell>
          <cell r="C17">
            <v>1.8</v>
          </cell>
        </row>
        <row r="18">
          <cell r="A18" t="str">
            <v>M603</v>
          </cell>
          <cell r="B18" t="str">
            <v>Inseticida</v>
          </cell>
          <cell r="C18">
            <v>31</v>
          </cell>
        </row>
        <row r="19">
          <cell r="A19" t="str">
            <v>M611</v>
          </cell>
          <cell r="B19" t="str">
            <v>Redutor tipo 2002 prim. Qualidade</v>
          </cell>
          <cell r="C19">
            <v>6.82</v>
          </cell>
        </row>
        <row r="20">
          <cell r="A20" t="str">
            <v>M615</v>
          </cell>
          <cell r="B20" t="str">
            <v>Microesfera PRE-MIX</v>
          </cell>
          <cell r="C20">
            <v>4.8</v>
          </cell>
        </row>
        <row r="21">
          <cell r="A21" t="str">
            <v>M616</v>
          </cell>
          <cell r="B21" t="str">
            <v>Microesfera DROP-ON</v>
          </cell>
          <cell r="C21">
            <v>4.8</v>
          </cell>
        </row>
        <row r="22">
          <cell r="A22" t="str">
            <v>M618</v>
          </cell>
          <cell r="B22" t="str">
            <v>Massa termoplástica para aspersão</v>
          </cell>
          <cell r="C22">
            <v>6.82</v>
          </cell>
        </row>
        <row r="23">
          <cell r="A23" t="str">
            <v>M619</v>
          </cell>
          <cell r="B23" t="str">
            <v>Cola poliester</v>
          </cell>
          <cell r="C23">
            <v>12</v>
          </cell>
        </row>
        <row r="24">
          <cell r="A24" t="str">
            <v>M621</v>
          </cell>
          <cell r="B24" t="str">
            <v>Desmoldante</v>
          </cell>
          <cell r="C24">
            <v>4.2</v>
          </cell>
        </row>
        <row r="25">
          <cell r="A25" t="str">
            <v>M624</v>
          </cell>
          <cell r="B25" t="str">
            <v>Tinta para pré-marcação</v>
          </cell>
          <cell r="C25">
            <v>11.77</v>
          </cell>
        </row>
        <row r="26">
          <cell r="A26" t="str">
            <v>M710</v>
          </cell>
          <cell r="B26" t="str">
            <v>Pedra-de-mão ou Rochão Comercial</v>
          </cell>
          <cell r="C26">
            <v>24</v>
          </cell>
        </row>
        <row r="27">
          <cell r="A27" t="str">
            <v>M715</v>
          </cell>
          <cell r="B27" t="str">
            <v>Pó calcário dolomítico</v>
          </cell>
          <cell r="C27">
            <v>0.06</v>
          </cell>
        </row>
        <row r="28">
          <cell r="A28" t="str">
            <v>M906</v>
          </cell>
          <cell r="B28" t="str">
            <v>Sementes p/ hidrossemeadura</v>
          </cell>
          <cell r="C28">
            <v>12</v>
          </cell>
        </row>
        <row r="29">
          <cell r="A29" t="str">
            <v>M907</v>
          </cell>
          <cell r="B29" t="str">
            <v>Adulbo Orgânico</v>
          </cell>
          <cell r="C29">
            <v>0.2</v>
          </cell>
        </row>
        <row r="30">
          <cell r="A30" t="str">
            <v>M915</v>
          </cell>
          <cell r="B30" t="str">
            <v>Muda de arbusto - califa; espirradeira ou similar (h=0,50m)</v>
          </cell>
          <cell r="C30">
            <v>7</v>
          </cell>
        </row>
        <row r="31">
          <cell r="A31" t="str">
            <v>M916</v>
          </cell>
          <cell r="B31" t="str">
            <v>Terra preta vegetal</v>
          </cell>
          <cell r="C31">
            <v>35</v>
          </cell>
        </row>
        <row r="32">
          <cell r="A32" t="str">
            <v>M973</v>
          </cell>
          <cell r="B32" t="str">
            <v>Tacha refletiva bidirecional</v>
          </cell>
          <cell r="C32">
            <v>7.87</v>
          </cell>
        </row>
        <row r="33">
          <cell r="A33" t="str">
            <v>M980</v>
          </cell>
          <cell r="B33" t="str">
            <v>Indenização de jazida</v>
          </cell>
          <cell r="C33">
            <v>1.1000000000000001</v>
          </cell>
        </row>
      </sheetData>
      <sheetData sheetId="7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  <sheetName val="C_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>
        <row r="2">
          <cell r="A2" t="str">
            <v>E001</v>
          </cell>
          <cell r="B2" t="str">
            <v>Trator de Esteiras-D41E-6- com lâmina (82 Kw)</v>
          </cell>
          <cell r="C2">
            <v>103.7694</v>
          </cell>
          <cell r="D2">
            <v>10.849399999999999</v>
          </cell>
        </row>
        <row r="3">
          <cell r="A3" t="str">
            <v>E002</v>
          </cell>
          <cell r="B3" t="str">
            <v>Trator de Esteiras D6M - com lâmina (104 kW)</v>
          </cell>
          <cell r="C3">
            <v>150.8794</v>
          </cell>
          <cell r="D3">
            <v>10.849399999999999</v>
          </cell>
        </row>
        <row r="4">
          <cell r="A4" t="str">
            <v>E003</v>
          </cell>
          <cell r="B4" t="str">
            <v>Trator de Esteiras D8R - com lâmina ( 228 kW)</v>
          </cell>
          <cell r="C4">
            <v>282.21390000000002</v>
          </cell>
          <cell r="D4">
            <v>10.849399999999999</v>
          </cell>
        </row>
        <row r="5">
          <cell r="A5" t="str">
            <v>E006</v>
          </cell>
          <cell r="B5" t="str">
            <v>Motoniveladora - 120H - (104 kW)</v>
          </cell>
          <cell r="C5">
            <v>110.3526</v>
          </cell>
          <cell r="D5">
            <v>11.4693</v>
          </cell>
        </row>
        <row r="6">
          <cell r="A6" t="str">
            <v>E007</v>
          </cell>
          <cell r="B6" t="str">
            <v>Trator Agricola - MF 292/4 - (77 kW)</v>
          </cell>
          <cell r="C6">
            <v>52.975200000000001</v>
          </cell>
          <cell r="D6">
            <v>8.3695000000000004</v>
          </cell>
        </row>
        <row r="7">
          <cell r="A7" t="str">
            <v>E010</v>
          </cell>
          <cell r="B7" t="str">
            <v>Carregadeira de Pneus - 950G - 3,1 m³ (135 kw)</v>
          </cell>
          <cell r="C7">
            <v>141.58940000000001</v>
          </cell>
          <cell r="D7">
            <v>10.849399999999999</v>
          </cell>
        </row>
        <row r="8">
          <cell r="A8" t="str">
            <v>E011</v>
          </cell>
          <cell r="B8" t="str">
            <v>Retroescavadeira - MF 86HF (57KW)</v>
          </cell>
          <cell r="C8">
            <v>52.539400000000001</v>
          </cell>
          <cell r="D8">
            <v>10.849399999999999</v>
          </cell>
        </row>
        <row r="9">
          <cell r="A9" t="str">
            <v>E013</v>
          </cell>
          <cell r="B9" t="str">
            <v>Rolo Compactador-CA-25-PP-pé de carneiro autop. 11,25t vibrat (85 kW)</v>
          </cell>
          <cell r="C9">
            <v>81.165000000000006</v>
          </cell>
          <cell r="D9">
            <v>8.3695000000000004</v>
          </cell>
        </row>
        <row r="10">
          <cell r="A10" t="str">
            <v>E016</v>
          </cell>
          <cell r="B10" t="str">
            <v>Carregadeira de Pneus - W-20 - 1,33 m³ (79 kW)</v>
          </cell>
          <cell r="C10">
            <v>80.969399999999993</v>
          </cell>
          <cell r="D10">
            <v>10.849399999999999</v>
          </cell>
        </row>
        <row r="11">
          <cell r="A11" t="str">
            <v>E062</v>
          </cell>
          <cell r="B11" t="str">
            <v>Escavadeira Hidráulica - 330 CL - com esteira - cap. 1,7 m³ (184 kM)</v>
          </cell>
          <cell r="C11">
            <v>254.59630000000001</v>
          </cell>
          <cell r="D11">
            <v>11.4693</v>
          </cell>
        </row>
        <row r="12">
          <cell r="A12" t="str">
            <v>E101</v>
          </cell>
          <cell r="B12" t="str">
            <v>Grade de Discos - GA 24 x 24</v>
          </cell>
          <cell r="C12">
            <v>1.8445</v>
          </cell>
          <cell r="D12">
            <v>0</v>
          </cell>
        </row>
        <row r="13">
          <cell r="A13" t="str">
            <v>E105</v>
          </cell>
          <cell r="B13" t="str">
            <v>Rolo Compactador-SP 8000 de pneus autoprop. 21 t (97kW)</v>
          </cell>
          <cell r="C13">
            <v>78.503500000000003</v>
          </cell>
          <cell r="D13">
            <v>8.3695000000000004</v>
          </cell>
        </row>
        <row r="14">
          <cell r="A14" t="str">
            <v>E107</v>
          </cell>
          <cell r="B14" t="str">
            <v>Vassoura Mecânica : - rebocável</v>
          </cell>
          <cell r="C14">
            <v>3.7631999999999999</v>
          </cell>
          <cell r="D14">
            <v>0</v>
          </cell>
        </row>
        <row r="15">
          <cell r="A15" t="str">
            <v>E108</v>
          </cell>
          <cell r="B15" t="str">
            <v>Distruidor de Agregados : - rebocável</v>
          </cell>
          <cell r="C15">
            <v>3.1970999999999998</v>
          </cell>
          <cell r="D15">
            <v>0</v>
          </cell>
        </row>
        <row r="16">
          <cell r="A16" t="str">
            <v>E110</v>
          </cell>
          <cell r="B16" t="str">
            <v>Tanque de Estocagem de Asfalto : - 20.000 1</v>
          </cell>
          <cell r="C16">
            <v>3.15</v>
          </cell>
          <cell r="D16">
            <v>0</v>
          </cell>
        </row>
        <row r="17">
          <cell r="A17" t="str">
            <v>E111</v>
          </cell>
          <cell r="B17" t="str">
            <v>Equip. Distribuição de Asfalto : - montado em caminhão (150 KW)</v>
          </cell>
          <cell r="C17">
            <v>90.014600000000002</v>
          </cell>
          <cell r="D17">
            <v>9.9193999999999996</v>
          </cell>
        </row>
        <row r="18">
          <cell r="A18" t="str">
            <v>E112</v>
          </cell>
          <cell r="B18" t="str">
            <v>Aquecedor de Fluido Térmico : TH III - (8 kW)</v>
          </cell>
          <cell r="C18">
            <v>14.9025</v>
          </cell>
          <cell r="D18">
            <v>0</v>
          </cell>
        </row>
        <row r="19">
          <cell r="A19" t="str">
            <v>E302</v>
          </cell>
          <cell r="B19" t="str">
            <v>Betoneira: - 320 1 (elétrica) (4 kW)</v>
          </cell>
          <cell r="C19">
            <v>8.6752000000000002</v>
          </cell>
          <cell r="D19">
            <v>8.3695000000000004</v>
          </cell>
        </row>
        <row r="20">
          <cell r="A20" t="str">
            <v>E304</v>
          </cell>
          <cell r="B20" t="str">
            <v>Transporte Manual : - carrinho de mão 80 1</v>
          </cell>
          <cell r="C20">
            <v>0.1421</v>
          </cell>
          <cell r="D20">
            <v>0</v>
          </cell>
        </row>
        <row r="21">
          <cell r="A21" t="str">
            <v>E306</v>
          </cell>
          <cell r="B21" t="str">
            <v>Vibrador de Concreto : VIP45/MT2 - de imersão (2 kW)</v>
          </cell>
          <cell r="C21">
            <v>7.8125</v>
          </cell>
          <cell r="D21">
            <v>7.4396000000000004</v>
          </cell>
        </row>
        <row r="22">
          <cell r="A22" t="str">
            <v>E311</v>
          </cell>
          <cell r="B22" t="str">
            <v>Fábric. Pré-Moldado Concreto : - tubos D=0,8m M / F (2 kW)</v>
          </cell>
          <cell r="C22">
            <v>5.0774999999999997</v>
          </cell>
          <cell r="D22">
            <v>0</v>
          </cell>
        </row>
        <row r="23">
          <cell r="A23" t="str">
            <v>E312</v>
          </cell>
          <cell r="B23" t="str">
            <v>Fábric. Pré-Moldado Concreto : - tubos D=1,00m M / F (2 kW)</v>
          </cell>
          <cell r="C23">
            <v>5.4814999999999996</v>
          </cell>
          <cell r="D23">
            <v>0</v>
          </cell>
        </row>
        <row r="24">
          <cell r="A24" t="str">
            <v>E402</v>
          </cell>
          <cell r="B24" t="str">
            <v>Caminhão Carroceria : - de madeira 15 t (170kW)</v>
          </cell>
          <cell r="C24">
            <v>88.628699999999995</v>
          </cell>
          <cell r="D24">
            <v>9.9193999999999996</v>
          </cell>
        </row>
        <row r="25">
          <cell r="A25" t="str">
            <v>E403</v>
          </cell>
          <cell r="B25" t="str">
            <v>Caminhão Carroceria : - de madeira 15 t (170 kW)</v>
          </cell>
          <cell r="C25">
            <v>88.628699999999995</v>
          </cell>
          <cell r="D25">
            <v>9.9193999999999996</v>
          </cell>
        </row>
        <row r="26">
          <cell r="A26" t="str">
            <v>E404</v>
          </cell>
          <cell r="B26" t="str">
            <v>Caminhão Basculante 2423 K - 10 m³ - 15 t (170 kW)</v>
          </cell>
          <cell r="C26">
            <v>92.033699999999996</v>
          </cell>
          <cell r="D26">
            <v>9.9193999999999996</v>
          </cell>
        </row>
        <row r="27">
          <cell r="A27" t="str">
            <v>E406</v>
          </cell>
          <cell r="B27" t="str">
            <v>Caminhão Tanque : L162/51 - 6.000 1 (150 kW)</v>
          </cell>
          <cell r="C27">
            <v>78.231999999999999</v>
          </cell>
          <cell r="D27">
            <v>9.9193999999999996</v>
          </cell>
        </row>
        <row r="28">
          <cell r="A28" t="str">
            <v>E407</v>
          </cell>
          <cell r="B28" t="str">
            <v>Caminhão Tanque : 2423 K - 10.000 1 (170 kW)</v>
          </cell>
          <cell r="C28">
            <v>89.6374</v>
          </cell>
          <cell r="D28">
            <v>9.9193999999999996</v>
          </cell>
        </row>
        <row r="29">
          <cell r="A29" t="str">
            <v>E408</v>
          </cell>
          <cell r="B29" t="str">
            <v>Caminhão carroceria : 710 / 37 - fixa 4 t (80 kW)</v>
          </cell>
          <cell r="C29">
            <v>45.011400000000002</v>
          </cell>
          <cell r="D29">
            <v>9.9193999999999996</v>
          </cell>
        </row>
        <row r="30">
          <cell r="A30" t="str">
            <v>E409</v>
          </cell>
          <cell r="B30" t="str">
            <v>Caminhão Carroceria : L1620/51 - fixa 9 t (150 kW)</v>
          </cell>
          <cell r="C30">
            <v>77.797700000000006</v>
          </cell>
          <cell r="D30">
            <v>9.9193999999999996</v>
          </cell>
        </row>
        <row r="31">
          <cell r="A31" t="str">
            <v>E416</v>
          </cell>
          <cell r="B31" t="str">
            <v>Veiculo Leve : - pick up (4 x 4) (97 kW)</v>
          </cell>
          <cell r="C31">
            <v>56.171999999999997</v>
          </cell>
          <cell r="D31">
            <v>8.9894999999999996</v>
          </cell>
        </row>
        <row r="32">
          <cell r="A32" t="str">
            <v>E432</v>
          </cell>
          <cell r="B32" t="str">
            <v>Caminhão Basculante: FM 12 6x4 - 20 t (279 kW)</v>
          </cell>
          <cell r="C32">
            <v>150.5478</v>
          </cell>
          <cell r="D32">
            <v>9.9193999999999996</v>
          </cell>
        </row>
        <row r="33">
          <cell r="A33" t="str">
            <v>E434</v>
          </cell>
          <cell r="B33" t="str">
            <v>Caminhão Carroceria : L 1620/51 - c/guindaste 6 t x m (150 kW)</v>
          </cell>
          <cell r="C33">
            <v>85.024199999999993</v>
          </cell>
          <cell r="D33">
            <v>9.9193999999999996</v>
          </cell>
        </row>
        <row r="34">
          <cell r="A34" t="str">
            <v>E508</v>
          </cell>
          <cell r="B34" t="str">
            <v>Grupo Gerador : GEHY-3 - 2,5 / 3,0 KVA (3kW)</v>
          </cell>
          <cell r="C34">
            <v>10.6907</v>
          </cell>
          <cell r="D34">
            <v>8.3695000000000004</v>
          </cell>
        </row>
        <row r="35">
          <cell r="A35" t="str">
            <v>E509</v>
          </cell>
          <cell r="B35" t="str">
            <v>Grupo Gerador : - GEHY - 18 - 16,8 / 18,5 KVA (15 kW)</v>
          </cell>
          <cell r="C35">
            <v>16.018699999999999</v>
          </cell>
          <cell r="D35">
            <v>8.3695000000000004</v>
          </cell>
        </row>
        <row r="36">
          <cell r="A36" t="str">
            <v>E904</v>
          </cell>
          <cell r="B36" t="str">
            <v>Máquina de Bancada : - serra circular de 12"</v>
          </cell>
          <cell r="C36">
            <v>0.15859999999999999</v>
          </cell>
          <cell r="D36">
            <v>0</v>
          </cell>
        </row>
        <row r="37">
          <cell r="A37" t="str">
            <v>E906</v>
          </cell>
          <cell r="B37" t="str">
            <v>Compactador Manual : ES 600 - soquete vibratório (2 kW)</v>
          </cell>
          <cell r="C37">
            <v>13.7362</v>
          </cell>
          <cell r="D37">
            <v>7.4396000000000004</v>
          </cell>
        </row>
        <row r="38">
          <cell r="A38" t="str">
            <v>E908</v>
          </cell>
          <cell r="B38" t="str">
            <v>Máquina para Pintura : - demarcação de faixas autoprop.(44 kW)</v>
          </cell>
          <cell r="C38">
            <v>52.059310000000004</v>
          </cell>
          <cell r="D38">
            <v>11.4693</v>
          </cell>
        </row>
        <row r="39">
          <cell r="A39" t="str">
            <v>E909</v>
          </cell>
          <cell r="B39" t="str">
            <v>Equip. para Hidrossemeadura : - 5.500 1 (125 kW)</v>
          </cell>
          <cell r="C39">
            <v>99.427700000000002</v>
          </cell>
          <cell r="D39">
            <v>9.9193999999999996</v>
          </cell>
        </row>
        <row r="40">
          <cell r="A40" t="str">
            <v>E920</v>
          </cell>
          <cell r="B40" t="str">
            <v>Máquina para Pintura : - de faixa a quente p/ mat. Termop. (22 kW)</v>
          </cell>
          <cell r="C40">
            <v>48.274099999999997</v>
          </cell>
          <cell r="D40">
            <v>11.4693</v>
          </cell>
        </row>
        <row r="41">
          <cell r="A41" t="str">
            <v>E921</v>
          </cell>
          <cell r="B41" t="str">
            <v>Fusor : - 600 1 (10kW)</v>
          </cell>
          <cell r="C41">
            <v>19.627500000000001</v>
          </cell>
          <cell r="D41">
            <v>0</v>
          </cell>
        </row>
        <row r="42">
          <cell r="A42" t="str">
            <v>E922</v>
          </cell>
          <cell r="B42" t="str">
            <v>Martelete : - perfurador/rompedor elétrico 11316 (1 KW)</v>
          </cell>
          <cell r="C42">
            <v>7.9108999999999998</v>
          </cell>
          <cell r="D42">
            <v>7.4396000000000004</v>
          </cell>
        </row>
      </sheetData>
      <sheetData sheetId="72" refreshError="1">
        <row r="2">
          <cell r="A2" t="str">
            <v>T314</v>
          </cell>
          <cell r="B2" t="str">
            <v>Operador de equp. Especial</v>
          </cell>
          <cell r="C2">
            <v>11.4693</v>
          </cell>
        </row>
        <row r="3">
          <cell r="A3" t="str">
            <v>T401</v>
          </cell>
          <cell r="B3" t="str">
            <v>Pré-marcador</v>
          </cell>
          <cell r="C3">
            <v>11.4693</v>
          </cell>
        </row>
        <row r="4">
          <cell r="A4" t="str">
            <v>T501</v>
          </cell>
          <cell r="B4" t="str">
            <v>Encarregado de turma</v>
          </cell>
          <cell r="C4">
            <v>10.2294</v>
          </cell>
        </row>
        <row r="5">
          <cell r="A5" t="str">
            <v>T511</v>
          </cell>
          <cell r="B5" t="str">
            <v>Encarregado De Pavimentação</v>
          </cell>
          <cell r="C5">
            <v>21.698699999999999</v>
          </cell>
        </row>
        <row r="7">
          <cell r="A7" t="str">
            <v>T602</v>
          </cell>
          <cell r="B7" t="str">
            <v>Montador</v>
          </cell>
          <cell r="C7">
            <v>7.4394999999999998</v>
          </cell>
        </row>
        <row r="8">
          <cell r="A8" t="str">
            <v>T603</v>
          </cell>
          <cell r="B8" t="str">
            <v>Carpinteiro</v>
          </cell>
          <cell r="C8">
            <v>7.4394999999999998</v>
          </cell>
        </row>
        <row r="9">
          <cell r="A9" t="str">
            <v>T604</v>
          </cell>
          <cell r="B9" t="str">
            <v>Pedreiro</v>
          </cell>
          <cell r="C9">
            <v>7.4394999999999998</v>
          </cell>
        </row>
        <row r="10">
          <cell r="A10" t="str">
            <v>T701</v>
          </cell>
          <cell r="B10" t="str">
            <v>Servente</v>
          </cell>
          <cell r="C10">
            <v>5.2697000000000003</v>
          </cell>
        </row>
      </sheetData>
      <sheetData sheetId="73"/>
      <sheetData sheetId="74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R960887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960887.XLS"/>
      <sheetName val="Dados"/>
      <sheetName val="Orçamento"/>
      <sheetName val="QuQuant"/>
      <sheetName val="Orçamentária"/>
      <sheetName val="DG"/>
    </sheetNames>
    <definedNames>
      <definedName name="PassaExtenso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DMT"/>
      <sheetName val="PATO"/>
      <sheetName val="Quantidades"/>
      <sheetName val="transporte"/>
      <sheetName val="Cronograma"/>
      <sheetName val="Cronograma (2)"/>
      <sheetName val="ABC Sv"/>
      <sheetName val="mobilização"/>
      <sheetName val="prancha"/>
      <sheetName val="canteiro"/>
      <sheetName val="layout"/>
      <sheetName val="ANP"/>
      <sheetName val="trans_betum_CGB"/>
      <sheetName val="Micro"/>
      <sheetName val="MBUQ"/>
      <sheetName val="pint_lig"/>
      <sheetName val="imprimação"/>
      <sheetName val="TSD"/>
      <sheetName val="Correção"/>
      <sheetName val="SICRO"/>
      <sheetName val="SICRO2"/>
    </sheetNames>
    <sheetDataSet>
      <sheetData sheetId="0" refreshError="1"/>
      <sheetData sheetId="1">
        <row r="45">
          <cell r="E45">
            <v>7</v>
          </cell>
        </row>
        <row r="46">
          <cell r="E46">
            <v>28.88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RESUMO "/>
      <sheetName val="CRONOGRAMA"/>
    </sheetNames>
    <sheetDataSet>
      <sheetData sheetId="0">
        <row r="4">
          <cell r="F4" t="str">
            <v>Extensão Aprox.:</v>
          </cell>
        </row>
        <row r="5">
          <cell r="F5" t="str">
            <v>Referência de Preços:</v>
          </cell>
        </row>
        <row r="7">
          <cell r="F7" t="str">
            <v>B.D.I.:</v>
          </cell>
        </row>
        <row r="11">
          <cell r="A11" t="str">
            <v>1.0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RESUMO "/>
      <sheetName val="CRONOGRAMA"/>
      <sheetName val="trans_betum_CGB"/>
      <sheetName val="ORÇAMENTO (2)"/>
    </sheetNames>
    <sheetDataSet>
      <sheetData sheetId="0">
        <row r="47">
          <cell r="D47" t="str">
            <v xml:space="preserve">UN 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"/>
      <sheetName val="RESUMO "/>
      <sheetName val="CRONOGRAMA"/>
      <sheetName val="COMPOSIÇÕES"/>
    </sheetNames>
    <sheetDataSet>
      <sheetData sheetId="0">
        <row r="29">
          <cell r="G29">
            <v>42829</v>
          </cell>
        </row>
        <row r="33">
          <cell r="D33" t="str">
            <v>Prefeitura Municipal de Primavera do Leste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PRO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PATO"/>
      <sheetName val="Quantidades_vigente"/>
      <sheetName val="PATO_REV"/>
      <sheetName val="Planilha_Consolidada"/>
      <sheetName val="PROPOSTA"/>
      <sheetName val="Cronograma_PROPOSTA"/>
      <sheetName val="transporte"/>
      <sheetName val="EXTENSO"/>
      <sheetName val="GRUPOS"/>
      <sheetName val="Quantidades_REV"/>
      <sheetName val="Plan.Consolid."/>
      <sheetName val="transporte_REV"/>
      <sheetName val="PLAN.EQUIL.ECON"/>
      <sheetName val="Acresc. x Decresc."/>
      <sheetName val="Planilha Edital"/>
      <sheetName val="Jogo de Planilhas"/>
      <sheetName val="Defensa"/>
      <sheetName val="veic100"/>
      <sheetName val="Rem Prof - Dem Man"/>
      <sheetName val="Cronograma_PROPOSTA-REV"/>
      <sheetName val="SICRO2 -MAI-15"/>
      <sheetName val="ANP"/>
      <sheetName val="trans_betum_CGB"/>
    </sheetNames>
    <sheetDataSet>
      <sheetData sheetId="0" refreshError="1"/>
      <sheetData sheetId="1">
        <row r="31">
          <cell r="E31">
            <v>955.3</v>
          </cell>
          <cell r="G31">
            <v>972.4</v>
          </cell>
          <cell r="I31">
            <v>1024.5</v>
          </cell>
          <cell r="K31">
            <v>1039.2</v>
          </cell>
          <cell r="O31">
            <v>1121.2</v>
          </cell>
        </row>
        <row r="34">
          <cell r="K34">
            <v>165.90000000000009</v>
          </cell>
        </row>
        <row r="39">
          <cell r="G39">
            <v>69.700000000000045</v>
          </cell>
        </row>
        <row r="41">
          <cell r="G41">
            <v>3</v>
          </cell>
        </row>
        <row r="42">
          <cell r="G42">
            <v>16.55</v>
          </cell>
        </row>
        <row r="43">
          <cell r="G43">
            <v>41.480440024110933</v>
          </cell>
        </row>
        <row r="44">
          <cell r="G44">
            <v>14.700000000000045</v>
          </cell>
        </row>
        <row r="46">
          <cell r="G46">
            <v>559.20000000000005</v>
          </cell>
        </row>
        <row r="47">
          <cell r="G47">
            <v>685.7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>
            <v>1</v>
          </cell>
          <cell r="AH5" t="str">
            <v>Um</v>
          </cell>
        </row>
        <row r="6">
          <cell r="AG6">
            <v>2</v>
          </cell>
          <cell r="AH6" t="str">
            <v>Dois</v>
          </cell>
        </row>
        <row r="7">
          <cell r="AG7">
            <v>3</v>
          </cell>
          <cell r="AH7" t="str">
            <v>Três</v>
          </cell>
        </row>
        <row r="8">
          <cell r="AG8">
            <v>4</v>
          </cell>
          <cell r="AH8" t="str">
            <v>Quatro</v>
          </cell>
        </row>
        <row r="9">
          <cell r="AG9">
            <v>5</v>
          </cell>
          <cell r="AH9" t="str">
            <v>Cinco</v>
          </cell>
        </row>
        <row r="10">
          <cell r="AG10">
            <v>6</v>
          </cell>
          <cell r="AH10" t="str">
            <v>Seis</v>
          </cell>
        </row>
        <row r="11">
          <cell r="AG11">
            <v>7</v>
          </cell>
          <cell r="AH11" t="str">
            <v>Sete</v>
          </cell>
        </row>
        <row r="12">
          <cell r="AG12">
            <v>8</v>
          </cell>
          <cell r="AH12" t="str">
            <v>Oito</v>
          </cell>
        </row>
        <row r="13">
          <cell r="AG13">
            <v>9</v>
          </cell>
          <cell r="AH13" t="str">
            <v>Nove</v>
          </cell>
        </row>
        <row r="14">
          <cell r="AG14">
            <v>10</v>
          </cell>
          <cell r="AH14" t="str">
            <v>Dez</v>
          </cell>
        </row>
        <row r="15">
          <cell r="AG15">
            <v>11</v>
          </cell>
          <cell r="AH15" t="str">
            <v>Onze</v>
          </cell>
        </row>
        <row r="16">
          <cell r="AG16">
            <v>12</v>
          </cell>
          <cell r="AH16" t="str">
            <v>Doze</v>
          </cell>
        </row>
        <row r="17">
          <cell r="AG17">
            <v>13</v>
          </cell>
          <cell r="AH17" t="str">
            <v>Treze</v>
          </cell>
        </row>
        <row r="18">
          <cell r="AG18">
            <v>14</v>
          </cell>
          <cell r="AH18" t="str">
            <v>Quatorze</v>
          </cell>
        </row>
        <row r="19">
          <cell r="AG19">
            <v>15</v>
          </cell>
          <cell r="AH19" t="str">
            <v>Quinze</v>
          </cell>
        </row>
        <row r="20">
          <cell r="AG20">
            <v>16</v>
          </cell>
          <cell r="AH20" t="str">
            <v>Dezesseis</v>
          </cell>
        </row>
        <row r="21">
          <cell r="AG21">
            <v>17</v>
          </cell>
          <cell r="AH21" t="str">
            <v>Dezessete</v>
          </cell>
        </row>
        <row r="22">
          <cell r="AG22">
            <v>18</v>
          </cell>
          <cell r="AH22" t="str">
            <v>Dezoito</v>
          </cell>
        </row>
        <row r="23">
          <cell r="AG23">
            <v>19</v>
          </cell>
          <cell r="AH23" t="str">
            <v>Dezenove</v>
          </cell>
        </row>
        <row r="24">
          <cell r="AG24">
            <v>20</v>
          </cell>
          <cell r="AH24" t="str">
            <v>Vinte</v>
          </cell>
        </row>
        <row r="25">
          <cell r="AG25">
            <v>30</v>
          </cell>
          <cell r="AH25" t="str">
            <v>Trinta</v>
          </cell>
        </row>
        <row r="26">
          <cell r="AG26">
            <v>40</v>
          </cell>
          <cell r="AH26" t="str">
            <v>Quarenta</v>
          </cell>
        </row>
        <row r="27">
          <cell r="AG27">
            <v>50</v>
          </cell>
          <cell r="AH27" t="str">
            <v>Cinquenta</v>
          </cell>
        </row>
        <row r="28">
          <cell r="AG28">
            <v>60</v>
          </cell>
          <cell r="AH28" t="str">
            <v>Sessenta</v>
          </cell>
        </row>
        <row r="29">
          <cell r="AG29">
            <v>70</v>
          </cell>
          <cell r="AH29" t="str">
            <v>Setenta</v>
          </cell>
        </row>
        <row r="30">
          <cell r="AG30">
            <v>80</v>
          </cell>
          <cell r="AH30" t="str">
            <v>Oitenta</v>
          </cell>
        </row>
        <row r="31">
          <cell r="AG31">
            <v>90</v>
          </cell>
          <cell r="AH31" t="str">
            <v>Noventa</v>
          </cell>
        </row>
        <row r="32">
          <cell r="AG32">
            <v>100</v>
          </cell>
          <cell r="AH32" t="str">
            <v>Cem</v>
          </cell>
        </row>
        <row r="33">
          <cell r="AG33">
            <v>200</v>
          </cell>
          <cell r="AH33" t="str">
            <v>Duzentos</v>
          </cell>
        </row>
        <row r="34">
          <cell r="AG34">
            <v>300</v>
          </cell>
          <cell r="AH34" t="str">
            <v>Trezentos</v>
          </cell>
        </row>
        <row r="35">
          <cell r="AG35">
            <v>400</v>
          </cell>
          <cell r="AH35" t="str">
            <v>Quatrocentos</v>
          </cell>
        </row>
        <row r="36">
          <cell r="AG36">
            <v>500</v>
          </cell>
          <cell r="AH36" t="str">
            <v>Quinhentos</v>
          </cell>
        </row>
        <row r="37">
          <cell r="AG37">
            <v>600</v>
          </cell>
          <cell r="AH37" t="str">
            <v>Seiscentos</v>
          </cell>
        </row>
        <row r="38">
          <cell r="AG38">
            <v>700</v>
          </cell>
          <cell r="AH38" t="str">
            <v>Setecentos</v>
          </cell>
        </row>
        <row r="39">
          <cell r="AG39">
            <v>800</v>
          </cell>
          <cell r="AH39" t="str">
            <v>Oitocentos</v>
          </cell>
        </row>
        <row r="40">
          <cell r="AG40">
            <v>900</v>
          </cell>
          <cell r="AH40" t="str">
            <v>Novecentos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PATO"/>
      <sheetName val="Quantidades_vigente"/>
      <sheetName val="PATO_REV"/>
      <sheetName val="Planilha_Consolidada"/>
      <sheetName val="PROPOSTA"/>
      <sheetName val="Cronograma_PROPOSTA"/>
      <sheetName val="transporte"/>
      <sheetName val="EXTENSO"/>
      <sheetName val="GRUPOS"/>
      <sheetName val="Quantidades_REV"/>
      <sheetName val="Plan.Consolid."/>
      <sheetName val="transporte_REV"/>
      <sheetName val="Jogo de Planilhas"/>
      <sheetName val="PLAN.EQUIL.ECON"/>
      <sheetName val="Acresc. x Decresc."/>
      <sheetName val="Planilha Edital"/>
      <sheetName val="Defensa"/>
      <sheetName val="veic100"/>
      <sheetName val="Rem Prof - Dem Man"/>
      <sheetName val="Cronograma_PROPOSTA-REV"/>
      <sheetName val="Estudo Viabilidade"/>
      <sheetName val="ANP"/>
      <sheetName val="trans_betum_CGB"/>
      <sheetName val="trans_betum_GOI"/>
      <sheetName val="trans_betum_BET"/>
      <sheetName val="SICRO2 -JUL16"/>
    </sheetNames>
    <sheetDataSet>
      <sheetData sheetId="0" refreshError="1"/>
      <sheetData sheetId="1">
        <row r="31">
          <cell r="E31">
            <v>955.3</v>
          </cell>
          <cell r="G31">
            <v>972.4</v>
          </cell>
          <cell r="I31">
            <v>1024.5</v>
          </cell>
          <cell r="K31">
            <v>1039.2</v>
          </cell>
          <cell r="O31">
            <v>1121.2</v>
          </cell>
        </row>
        <row r="34">
          <cell r="K34">
            <v>165.90000000000009</v>
          </cell>
        </row>
        <row r="39">
          <cell r="G39">
            <v>69.700000000000045</v>
          </cell>
        </row>
        <row r="41">
          <cell r="G41">
            <v>3</v>
          </cell>
        </row>
        <row r="42">
          <cell r="G42">
            <v>16.55</v>
          </cell>
        </row>
        <row r="43">
          <cell r="G43">
            <v>41.480440024110933</v>
          </cell>
        </row>
        <row r="44">
          <cell r="G44">
            <v>14.700000000000045</v>
          </cell>
        </row>
        <row r="46">
          <cell r="G46">
            <v>559.20000000000005</v>
          </cell>
        </row>
        <row r="47">
          <cell r="G47">
            <v>685.7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>
            <v>1</v>
          </cell>
          <cell r="AH5" t="str">
            <v>Um</v>
          </cell>
        </row>
        <row r="6">
          <cell r="AG6">
            <v>2</v>
          </cell>
          <cell r="AH6" t="str">
            <v>Dois</v>
          </cell>
        </row>
        <row r="7">
          <cell r="AG7">
            <v>3</v>
          </cell>
          <cell r="AH7" t="str">
            <v>Três</v>
          </cell>
        </row>
        <row r="8">
          <cell r="AG8">
            <v>4</v>
          </cell>
          <cell r="AH8" t="str">
            <v>Quatro</v>
          </cell>
        </row>
        <row r="9">
          <cell r="AG9">
            <v>5</v>
          </cell>
          <cell r="AH9" t="str">
            <v>Cinco</v>
          </cell>
        </row>
        <row r="10">
          <cell r="AG10">
            <v>6</v>
          </cell>
          <cell r="AH10" t="str">
            <v>Seis</v>
          </cell>
        </row>
        <row r="11">
          <cell r="AG11">
            <v>7</v>
          </cell>
          <cell r="AH11" t="str">
            <v>Sete</v>
          </cell>
        </row>
        <row r="12">
          <cell r="AG12">
            <v>8</v>
          </cell>
          <cell r="AH12" t="str">
            <v>Oito</v>
          </cell>
        </row>
        <row r="13">
          <cell r="AG13">
            <v>9</v>
          </cell>
          <cell r="AH13" t="str">
            <v>Nove</v>
          </cell>
        </row>
        <row r="14">
          <cell r="AG14">
            <v>10</v>
          </cell>
          <cell r="AH14" t="str">
            <v>Dez</v>
          </cell>
        </row>
        <row r="15">
          <cell r="AG15">
            <v>11</v>
          </cell>
          <cell r="AH15" t="str">
            <v>Onze</v>
          </cell>
        </row>
        <row r="16">
          <cell r="AG16">
            <v>12</v>
          </cell>
          <cell r="AH16" t="str">
            <v>Doze</v>
          </cell>
        </row>
        <row r="17">
          <cell r="AG17">
            <v>13</v>
          </cell>
          <cell r="AH17" t="str">
            <v>Treze</v>
          </cell>
        </row>
        <row r="18">
          <cell r="AG18">
            <v>14</v>
          </cell>
          <cell r="AH18" t="str">
            <v>Quatorze</v>
          </cell>
        </row>
        <row r="19">
          <cell r="AG19">
            <v>15</v>
          </cell>
          <cell r="AH19" t="str">
            <v>Quinze</v>
          </cell>
        </row>
        <row r="20">
          <cell r="AG20">
            <v>16</v>
          </cell>
          <cell r="AH20" t="str">
            <v>Dezesseis</v>
          </cell>
        </row>
        <row r="21">
          <cell r="AG21">
            <v>17</v>
          </cell>
          <cell r="AH21" t="str">
            <v>Dezessete</v>
          </cell>
        </row>
        <row r="22">
          <cell r="AG22">
            <v>18</v>
          </cell>
          <cell r="AH22" t="str">
            <v>Dezoito</v>
          </cell>
        </row>
        <row r="23">
          <cell r="AG23">
            <v>19</v>
          </cell>
          <cell r="AH23" t="str">
            <v>Dezenove</v>
          </cell>
        </row>
        <row r="24">
          <cell r="AG24">
            <v>20</v>
          </cell>
          <cell r="AH24" t="str">
            <v>Vinte</v>
          </cell>
        </row>
        <row r="25">
          <cell r="AG25">
            <v>30</v>
          </cell>
          <cell r="AH25" t="str">
            <v>Trinta</v>
          </cell>
        </row>
        <row r="26">
          <cell r="AG26">
            <v>40</v>
          </cell>
          <cell r="AH26" t="str">
            <v>Quarenta</v>
          </cell>
        </row>
        <row r="27">
          <cell r="AG27">
            <v>50</v>
          </cell>
          <cell r="AH27" t="str">
            <v>Cinquenta</v>
          </cell>
        </row>
        <row r="28">
          <cell r="AG28">
            <v>60</v>
          </cell>
          <cell r="AH28" t="str">
            <v>Sessenta</v>
          </cell>
        </row>
        <row r="29">
          <cell r="AG29">
            <v>70</v>
          </cell>
          <cell r="AH29" t="str">
            <v>Setenta</v>
          </cell>
        </row>
        <row r="30">
          <cell r="AG30">
            <v>80</v>
          </cell>
          <cell r="AH30" t="str">
            <v>Oitenta</v>
          </cell>
        </row>
        <row r="31">
          <cell r="AG31">
            <v>90</v>
          </cell>
          <cell r="AH31" t="str">
            <v>Noventa</v>
          </cell>
        </row>
        <row r="32">
          <cell r="AG32">
            <v>100</v>
          </cell>
          <cell r="AH32" t="str">
            <v>Cem</v>
          </cell>
        </row>
        <row r="33">
          <cell r="AG33">
            <v>200</v>
          </cell>
          <cell r="AH33" t="str">
            <v>Duzentos</v>
          </cell>
        </row>
        <row r="34">
          <cell r="AG34">
            <v>300</v>
          </cell>
          <cell r="AH34" t="str">
            <v>Trezentos</v>
          </cell>
        </row>
        <row r="35">
          <cell r="AG35">
            <v>400</v>
          </cell>
          <cell r="AH35" t="str">
            <v>Quatrocentos</v>
          </cell>
        </row>
        <row r="36">
          <cell r="AG36">
            <v>500</v>
          </cell>
          <cell r="AH36" t="str">
            <v>Quinhentos</v>
          </cell>
        </row>
        <row r="37">
          <cell r="AG37">
            <v>600</v>
          </cell>
          <cell r="AH37" t="str">
            <v>Seiscentos</v>
          </cell>
        </row>
        <row r="38">
          <cell r="AG38">
            <v>700</v>
          </cell>
          <cell r="AH38" t="str">
            <v>Setecentos</v>
          </cell>
        </row>
        <row r="39">
          <cell r="AG39">
            <v>800</v>
          </cell>
          <cell r="AH39" t="str">
            <v>Oitocentos</v>
          </cell>
        </row>
        <row r="40">
          <cell r="AG40">
            <v>900</v>
          </cell>
          <cell r="AH40" t="str">
            <v>Novecentos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  <sheetName val="RESUMO-SIN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8">
          <cell r="B8" t="str">
            <v>Mês: Maio/2005</v>
          </cell>
        </row>
      </sheetData>
      <sheetData sheetId="71" refreshError="1">
        <row r="2">
          <cell r="A2" t="str">
            <v>E001</v>
          </cell>
          <cell r="B2" t="str">
            <v>Trator de Esteiras-D41E-6- com lâmina (82 Kw)</v>
          </cell>
          <cell r="C2">
            <v>103.7694</v>
          </cell>
          <cell r="D2">
            <v>10.849399999999999</v>
          </cell>
        </row>
        <row r="3">
          <cell r="A3" t="str">
            <v>E002</v>
          </cell>
          <cell r="B3" t="str">
            <v>Trator de Esteiras D6M - com lâmina (104 kW)</v>
          </cell>
          <cell r="C3">
            <v>150.8794</v>
          </cell>
          <cell r="D3">
            <v>10.849399999999999</v>
          </cell>
        </row>
        <row r="4">
          <cell r="A4" t="str">
            <v>E003</v>
          </cell>
          <cell r="B4" t="str">
            <v>Trator de Esteiras D8R - com lâmina ( 228 kW)</v>
          </cell>
          <cell r="C4">
            <v>282.21390000000002</v>
          </cell>
          <cell r="D4">
            <v>10.849399999999999</v>
          </cell>
        </row>
        <row r="5">
          <cell r="A5" t="str">
            <v>E006</v>
          </cell>
          <cell r="B5" t="str">
            <v>Motoniveladora - 120H - (104 kW)</v>
          </cell>
          <cell r="C5">
            <v>110.3526</v>
          </cell>
          <cell r="D5">
            <v>11.4693</v>
          </cell>
        </row>
        <row r="6">
          <cell r="A6" t="str">
            <v>E007</v>
          </cell>
          <cell r="B6" t="str">
            <v>Trator Agricola - MF 292/4 - (77 kW)</v>
          </cell>
          <cell r="C6">
            <v>52.975200000000001</v>
          </cell>
          <cell r="D6">
            <v>8.3695000000000004</v>
          </cell>
        </row>
        <row r="7">
          <cell r="A7" t="str">
            <v>E010</v>
          </cell>
          <cell r="B7" t="str">
            <v>Carregadeira de Pneus - 950G - 3,1 m³ (135 kw)</v>
          </cell>
          <cell r="C7">
            <v>141.58940000000001</v>
          </cell>
          <cell r="D7">
            <v>10.849399999999999</v>
          </cell>
        </row>
        <row r="8">
          <cell r="A8" t="str">
            <v>E011</v>
          </cell>
          <cell r="B8" t="str">
            <v>Retroescavadeira - MF 86HF (57KW)</v>
          </cell>
          <cell r="C8">
            <v>52.539400000000001</v>
          </cell>
          <cell r="D8">
            <v>10.849399999999999</v>
          </cell>
        </row>
        <row r="9">
          <cell r="A9" t="str">
            <v>E013</v>
          </cell>
          <cell r="B9" t="str">
            <v>Rolo Compactador-CA-25-PP-pé de carneiro autop. 11,25t vibrat (85 kW)</v>
          </cell>
          <cell r="C9">
            <v>81.165000000000006</v>
          </cell>
          <cell r="D9">
            <v>8.3695000000000004</v>
          </cell>
        </row>
        <row r="10">
          <cell r="A10" t="str">
            <v>E016</v>
          </cell>
          <cell r="B10" t="str">
            <v>Carregadeira de Pneus - W-20 - 1,33 m³ (79 kW)</v>
          </cell>
          <cell r="C10">
            <v>80.969399999999993</v>
          </cell>
          <cell r="D10">
            <v>10.849399999999999</v>
          </cell>
        </row>
        <row r="11">
          <cell r="A11" t="str">
            <v>E062</v>
          </cell>
          <cell r="B11" t="str">
            <v>Escavadeira Hidráulica - 330 CL - com esteira - cap. 1,7 m³ (184 kM)</v>
          </cell>
          <cell r="C11">
            <v>254.59630000000001</v>
          </cell>
          <cell r="D11">
            <v>11.4693</v>
          </cell>
        </row>
        <row r="12">
          <cell r="A12" t="str">
            <v>E101</v>
          </cell>
          <cell r="B12" t="str">
            <v>Grade de Discos - GA 24 x 24</v>
          </cell>
          <cell r="C12">
            <v>1.8445</v>
          </cell>
          <cell r="D12">
            <v>0</v>
          </cell>
        </row>
        <row r="13">
          <cell r="A13" t="str">
            <v>E105</v>
          </cell>
          <cell r="B13" t="str">
            <v>Rolo Compactador-SP 8000 de pneus autoprop. 21 t (97kW)</v>
          </cell>
          <cell r="C13">
            <v>78.503500000000003</v>
          </cell>
          <cell r="D13">
            <v>8.3695000000000004</v>
          </cell>
        </row>
        <row r="14">
          <cell r="A14" t="str">
            <v>E107</v>
          </cell>
          <cell r="B14" t="str">
            <v>Vassoura Mecânica : - rebocável</v>
          </cell>
          <cell r="C14">
            <v>3.7631999999999999</v>
          </cell>
          <cell r="D14">
            <v>0</v>
          </cell>
        </row>
        <row r="15">
          <cell r="A15" t="str">
            <v>E108</v>
          </cell>
          <cell r="B15" t="str">
            <v>Distruidor de Agregados : - rebocável</v>
          </cell>
          <cell r="C15">
            <v>3.1970999999999998</v>
          </cell>
          <cell r="D15">
            <v>0</v>
          </cell>
        </row>
        <row r="16">
          <cell r="A16" t="str">
            <v>E110</v>
          </cell>
          <cell r="B16" t="str">
            <v>Tanque de Estocagem de Asfalto : - 20.000 1</v>
          </cell>
          <cell r="C16">
            <v>3.15</v>
          </cell>
          <cell r="D16">
            <v>0</v>
          </cell>
        </row>
        <row r="17">
          <cell r="A17" t="str">
            <v>E111</v>
          </cell>
          <cell r="B17" t="str">
            <v>Equip. Distribuição de Asfalto : - montado em caminhão (150 KW)</v>
          </cell>
          <cell r="C17">
            <v>90.014600000000002</v>
          </cell>
          <cell r="D17">
            <v>9.9193999999999996</v>
          </cell>
        </row>
        <row r="18">
          <cell r="A18" t="str">
            <v>E112</v>
          </cell>
          <cell r="B18" t="str">
            <v>Aquecedor de Fluido Térmico : TH III - (8 kW)</v>
          </cell>
          <cell r="C18">
            <v>14.9025</v>
          </cell>
          <cell r="D18">
            <v>0</v>
          </cell>
        </row>
        <row r="19">
          <cell r="A19" t="str">
            <v>E302</v>
          </cell>
          <cell r="B19" t="str">
            <v>Betoneira: - 320 1 (elétrica) (4 kW)</v>
          </cell>
          <cell r="C19">
            <v>8.6752000000000002</v>
          </cell>
          <cell r="D19">
            <v>8.3695000000000004</v>
          </cell>
        </row>
        <row r="20">
          <cell r="A20" t="str">
            <v>E304</v>
          </cell>
          <cell r="B20" t="str">
            <v>Transporte Manual : - carrinho de mão 80 1</v>
          </cell>
          <cell r="C20">
            <v>0.1421</v>
          </cell>
          <cell r="D20">
            <v>0</v>
          </cell>
        </row>
        <row r="21">
          <cell r="A21" t="str">
            <v>E306</v>
          </cell>
          <cell r="B21" t="str">
            <v>Vibrador de Concreto : VIP45/MT2 - de imersão (2 kW)</v>
          </cell>
          <cell r="C21">
            <v>7.8125</v>
          </cell>
          <cell r="D21">
            <v>7.4396000000000004</v>
          </cell>
        </row>
        <row r="22">
          <cell r="A22" t="str">
            <v>E311</v>
          </cell>
          <cell r="B22" t="str">
            <v>Fábric. Pré-Moldado Concreto : - tubos D=0,8m M / F (2 kW)</v>
          </cell>
          <cell r="C22">
            <v>5.0774999999999997</v>
          </cell>
          <cell r="D22">
            <v>0</v>
          </cell>
        </row>
        <row r="23">
          <cell r="A23" t="str">
            <v>E312</v>
          </cell>
          <cell r="B23" t="str">
            <v>Fábric. Pré-Moldado Concreto : - tubos D=1,00m M / F (2 kW)</v>
          </cell>
          <cell r="C23">
            <v>5.4814999999999996</v>
          </cell>
          <cell r="D23">
            <v>0</v>
          </cell>
        </row>
        <row r="24">
          <cell r="A24" t="str">
            <v>E402</v>
          </cell>
          <cell r="B24" t="str">
            <v>Caminhão Carroceria : - de madeira 15 t (170kW)</v>
          </cell>
          <cell r="C24">
            <v>88.628699999999995</v>
          </cell>
          <cell r="D24">
            <v>9.9193999999999996</v>
          </cell>
        </row>
        <row r="25">
          <cell r="A25" t="str">
            <v>E403</v>
          </cell>
          <cell r="B25" t="str">
            <v>Caminhão Carroceria : - de madeira 15 t (170 kW)</v>
          </cell>
          <cell r="C25">
            <v>88.628699999999995</v>
          </cell>
          <cell r="D25">
            <v>9.9193999999999996</v>
          </cell>
        </row>
        <row r="26">
          <cell r="A26" t="str">
            <v>E404</v>
          </cell>
          <cell r="B26" t="str">
            <v>Caminhão Basculante 2423 K - 10 m³ - 15 t (170 kW)</v>
          </cell>
          <cell r="C26">
            <v>92.033699999999996</v>
          </cell>
          <cell r="D26">
            <v>9.9193999999999996</v>
          </cell>
        </row>
        <row r="27">
          <cell r="A27" t="str">
            <v>E406</v>
          </cell>
          <cell r="B27" t="str">
            <v>Caminhão Tanque : L162/51 - 6.000 1 (150 kW)</v>
          </cell>
          <cell r="C27">
            <v>78.231999999999999</v>
          </cell>
          <cell r="D27">
            <v>9.9193999999999996</v>
          </cell>
        </row>
        <row r="28">
          <cell r="A28" t="str">
            <v>E407</v>
          </cell>
          <cell r="B28" t="str">
            <v>Caminhão Tanque : 2423 K - 10.000 1 (170 kW)</v>
          </cell>
          <cell r="C28">
            <v>89.6374</v>
          </cell>
          <cell r="D28">
            <v>9.9193999999999996</v>
          </cell>
        </row>
        <row r="29">
          <cell r="A29" t="str">
            <v>E408</v>
          </cell>
          <cell r="B29" t="str">
            <v>Caminhão carroceria : 710 / 37 - fixa 4 t (80 kW)</v>
          </cell>
          <cell r="C29">
            <v>45.011400000000002</v>
          </cell>
          <cell r="D29">
            <v>9.9193999999999996</v>
          </cell>
        </row>
        <row r="30">
          <cell r="A30" t="str">
            <v>E409</v>
          </cell>
          <cell r="B30" t="str">
            <v>Caminhão Carroceria : L1620/51 - fixa 9 t (150 kW)</v>
          </cell>
          <cell r="C30">
            <v>77.797700000000006</v>
          </cell>
          <cell r="D30">
            <v>9.9193999999999996</v>
          </cell>
        </row>
        <row r="31">
          <cell r="A31" t="str">
            <v>E416</v>
          </cell>
          <cell r="B31" t="str">
            <v>Veiculo Leve : - pick up (4 x 4) (97 kW)</v>
          </cell>
          <cell r="C31">
            <v>56.171999999999997</v>
          </cell>
          <cell r="D31">
            <v>8.9894999999999996</v>
          </cell>
        </row>
        <row r="32">
          <cell r="A32" t="str">
            <v>E432</v>
          </cell>
          <cell r="B32" t="str">
            <v>Caminhão Basculante: FM 12 6x4 - 20 t (279 kW)</v>
          </cell>
          <cell r="C32">
            <v>150.5478</v>
          </cell>
          <cell r="D32">
            <v>9.9193999999999996</v>
          </cell>
        </row>
        <row r="33">
          <cell r="A33" t="str">
            <v>E434</v>
          </cell>
          <cell r="B33" t="str">
            <v>Caminhão Carroceria : L 1620/51 - c/guindaste 6 t x m (150 kW)</v>
          </cell>
          <cell r="C33">
            <v>85.024199999999993</v>
          </cell>
          <cell r="D33">
            <v>9.9193999999999996</v>
          </cell>
        </row>
        <row r="34">
          <cell r="A34" t="str">
            <v>E508</v>
          </cell>
          <cell r="B34" t="str">
            <v>Grupo Gerador : GEHY-3 - 2,5 / 3,0 KVA (3kW)</v>
          </cell>
          <cell r="C34">
            <v>10.6907</v>
          </cell>
          <cell r="D34">
            <v>8.3695000000000004</v>
          </cell>
        </row>
        <row r="35">
          <cell r="A35" t="str">
            <v>E509</v>
          </cell>
          <cell r="B35" t="str">
            <v>Grupo Gerador : - GEHY - 18 - 16,8 / 18,5 KVA (15 kW)</v>
          </cell>
          <cell r="C35">
            <v>16.018699999999999</v>
          </cell>
          <cell r="D35">
            <v>8.3695000000000004</v>
          </cell>
        </row>
        <row r="36">
          <cell r="A36" t="str">
            <v>E904</v>
          </cell>
          <cell r="B36" t="str">
            <v>Máquina de Bancada : - serra circular de 12"</v>
          </cell>
          <cell r="C36">
            <v>0.15859999999999999</v>
          </cell>
          <cell r="D36">
            <v>0</v>
          </cell>
        </row>
        <row r="37">
          <cell r="A37" t="str">
            <v>E906</v>
          </cell>
          <cell r="B37" t="str">
            <v>Compactador Manual : ES 600 - soquete vibratório (2 kW)</v>
          </cell>
          <cell r="C37">
            <v>13.7362</v>
          </cell>
          <cell r="D37">
            <v>7.4396000000000004</v>
          </cell>
        </row>
        <row r="38">
          <cell r="A38" t="str">
            <v>E908</v>
          </cell>
          <cell r="B38" t="str">
            <v>Máquina para Pintura : - demarcação de faixas autoprop.(44 kW)</v>
          </cell>
          <cell r="C38">
            <v>52.059310000000004</v>
          </cell>
          <cell r="D38">
            <v>11.4693</v>
          </cell>
        </row>
        <row r="39">
          <cell r="A39" t="str">
            <v>E909</v>
          </cell>
          <cell r="B39" t="str">
            <v>Equip. para Hidrossemeadura : - 5.500 1 (125 kW)</v>
          </cell>
          <cell r="C39">
            <v>99.427700000000002</v>
          </cell>
          <cell r="D39">
            <v>9.9193999999999996</v>
          </cell>
        </row>
        <row r="40">
          <cell r="A40" t="str">
            <v>E920</v>
          </cell>
          <cell r="B40" t="str">
            <v>Máquina para Pintura : - de faixa a quente p/ mat. Termop. (22 kW)</v>
          </cell>
          <cell r="C40">
            <v>48.274099999999997</v>
          </cell>
          <cell r="D40">
            <v>11.4693</v>
          </cell>
        </row>
        <row r="41">
          <cell r="A41" t="str">
            <v>E921</v>
          </cell>
          <cell r="B41" t="str">
            <v>Fusor : - 600 1 (10kW)</v>
          </cell>
          <cell r="C41">
            <v>19.627500000000001</v>
          </cell>
          <cell r="D41">
            <v>0</v>
          </cell>
        </row>
        <row r="42">
          <cell r="A42" t="str">
            <v>E922</v>
          </cell>
          <cell r="B42" t="str">
            <v>Martelete : - perfurador/rompedor elétrico 11316 (1 KW)</v>
          </cell>
          <cell r="C42">
            <v>7.9108999999999998</v>
          </cell>
          <cell r="D42">
            <v>7.4396000000000004</v>
          </cell>
        </row>
      </sheetData>
      <sheetData sheetId="72" refreshError="1">
        <row r="2">
          <cell r="A2" t="str">
            <v>T314</v>
          </cell>
          <cell r="B2" t="str">
            <v>Operador de equp. Especial</v>
          </cell>
          <cell r="C2">
            <v>11.4693</v>
          </cell>
        </row>
        <row r="3">
          <cell r="A3" t="str">
            <v>T401</v>
          </cell>
          <cell r="B3" t="str">
            <v>Pré-marcador</v>
          </cell>
          <cell r="C3">
            <v>11.4693</v>
          </cell>
        </row>
        <row r="4">
          <cell r="A4" t="str">
            <v>T501</v>
          </cell>
          <cell r="B4" t="str">
            <v>Encarregado de turma</v>
          </cell>
          <cell r="C4">
            <v>10.2294</v>
          </cell>
        </row>
        <row r="5">
          <cell r="A5" t="str">
            <v>T511</v>
          </cell>
          <cell r="B5" t="str">
            <v>Encarregado De Pavimentação</v>
          </cell>
          <cell r="C5">
            <v>21.698699999999999</v>
          </cell>
        </row>
        <row r="7">
          <cell r="A7" t="str">
            <v>T602</v>
          </cell>
          <cell r="B7" t="str">
            <v>Montador</v>
          </cell>
          <cell r="C7">
            <v>7.4394999999999998</v>
          </cell>
        </row>
        <row r="8">
          <cell r="A8" t="str">
            <v>T603</v>
          </cell>
          <cell r="B8" t="str">
            <v>Carpinteiro</v>
          </cell>
          <cell r="C8">
            <v>7.4394999999999998</v>
          </cell>
        </row>
        <row r="9">
          <cell r="A9" t="str">
            <v>T604</v>
          </cell>
          <cell r="B9" t="str">
            <v>Pedreiro</v>
          </cell>
          <cell r="C9">
            <v>7.4394999999999998</v>
          </cell>
        </row>
        <row r="10">
          <cell r="A10" t="str">
            <v>T701</v>
          </cell>
          <cell r="B10" t="str">
            <v>Servente</v>
          </cell>
          <cell r="C10">
            <v>5.2697000000000003</v>
          </cell>
        </row>
      </sheetData>
      <sheetData sheetId="73" refreshError="1"/>
      <sheetData sheetId="74" refreshError="1"/>
      <sheetData sheetId="7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gráfico"/>
      <sheetName val="padrão"/>
      <sheetName val="abc"/>
      <sheetName val="QUANT E CUSTOS"/>
      <sheetName val="plan.preçounit."/>
      <sheetName val="cron.físico"/>
      <sheetName val="qd transp"/>
      <sheetName val="PATO"/>
      <sheetName val="mist.bet.usin.frio"/>
      <sheetName val="Aqui. bet. mist. a frio"/>
      <sheetName val="Transp. mat. bet. usinado a f"/>
      <sheetName val="Rec. do rev. com MBUF"/>
      <sheetName val="Transporte RR-1C"/>
      <sheetName val="rem.prof.dem.manual"/>
      <sheetName val="Rec. man aterro"/>
      <sheetName val="Remoc.CG"/>
      <sheetName val="Limp. vala"/>
      <sheetName val="Limp. bueiro"/>
      <sheetName val="Desob.bueiro"/>
      <sheetName val="caiação"/>
      <sheetName val="Rem. Barreira"/>
      <sheetName val="Roç. colonião"/>
      <sheetName val="veículo até 100hp"/>
      <sheetName val="Trans_Carr_Pav (cercas)"/>
      <sheetName val="SBRP"/>
      <sheetName val="Mobilização"/>
      <sheetName val="LAYOUT_CANTEIRO"/>
      <sheetName val="Prancha"/>
      <sheetName val="sinapi"/>
      <sheetName val="custo_trans_betum"/>
      <sheetName val="PATO_km614,4_km799,3 - rev06 - "/>
    </sheetNames>
    <definedNames>
      <definedName name="bb" refersTo="#REF!"/>
      <definedName name="çç" refersTo="#REF!"/>
      <definedName name="Croquiiii" refersTo="#REF!"/>
      <definedName name="Extenso" refersTo="#REF!"/>
      <definedName name="LASTRO" refersTo="#REF!"/>
      <definedName name="llllllll" refersTo="#REF!"/>
      <definedName name="mod1.ext" refersTo="#REF!"/>
      <definedName name="módulo1.Extenso" refersTo="#REF!"/>
      <definedName name="Ponte" refersTo="#REF!"/>
      <definedName name="pte" refersTo="#REF!"/>
      <definedName name="QQ_2" refersTo="#REF!"/>
      <definedName name="qq_2_" refersTo="#REF!"/>
      <definedName name="rach" refersTo="#REF!"/>
      <definedName name="Rachão" refersTo="#REF!"/>
      <definedName name="rec" refersTo="#REF!"/>
      <definedName name="recc" refersTo="#REF!"/>
      <definedName name="res" refersTo="#REF!"/>
      <definedName name="RESUMO" refersTo="#REF!"/>
      <definedName name="S" refersTo="#REF!"/>
      <definedName name="TESTE" refersTo="#REF!"/>
      <definedName name="wew" refersTo="#REF!"/>
      <definedName name="WEWRWR" refersTo="#REF!"/>
      <definedName name="xx" refersTo="#REF!"/>
      <definedName name="XXX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gráfico"/>
      <sheetName val="padrão"/>
      <sheetName val="abc"/>
      <sheetName val="QUANT E CUSTOS"/>
      <sheetName val="plan.preçounit."/>
      <sheetName val="cron.físico"/>
      <sheetName val="qd transp"/>
      <sheetName val="PATO"/>
      <sheetName val="mist.bet.usin.frio"/>
      <sheetName val="Aqui. bet. mist. a frio"/>
      <sheetName val="Transp. mat. bet. usinado a f"/>
      <sheetName val="Rec. do rev. com MBUF"/>
      <sheetName val="Transporte RR-1C"/>
      <sheetName val="rem.prof.dem.manual"/>
      <sheetName val="Rec. man aterro"/>
      <sheetName val="Remoc.CG"/>
      <sheetName val="Limp. vala"/>
      <sheetName val="Limp. bueiro"/>
      <sheetName val="Desob.bueiro"/>
      <sheetName val="caiação"/>
      <sheetName val="Rem. Barreira"/>
      <sheetName val="Roç. colonião"/>
      <sheetName val="veículo até 100hp"/>
      <sheetName val="Trans_Carr_Pav (cercas)"/>
      <sheetName val="SBRP"/>
      <sheetName val="Mobilização"/>
      <sheetName val="LAYOUT_CANTEIRO"/>
      <sheetName val="Prancha"/>
      <sheetName val="sinapi"/>
      <sheetName val="custo_trans_betum"/>
      <sheetName val="PATO_km614,4_km799,3 - rev06 - "/>
    </sheetNames>
    <definedNames>
      <definedName name="bb" refersTo="#REF!"/>
      <definedName name="çç" refersTo="#REF!"/>
      <definedName name="Croquiiii" refersTo="#REF!"/>
      <definedName name="Extenso" refersTo="#REF!"/>
      <definedName name="LASTRO" refersTo="#REF!"/>
      <definedName name="llllllll" refersTo="#REF!"/>
      <definedName name="mod1.ext" refersTo="#REF!"/>
      <definedName name="módulo1.Extenso" refersTo="#REF!"/>
      <definedName name="Ponte" refersTo="#REF!"/>
      <definedName name="pte" refersTo="#REF!"/>
      <definedName name="QQ_2" refersTo="#REF!"/>
      <definedName name="qq_2_" refersTo="#REF!"/>
      <definedName name="rach" refersTo="#REF!"/>
      <definedName name="Rachão" refersTo="#REF!"/>
      <definedName name="rec" refersTo="#REF!"/>
      <definedName name="recc" refersTo="#REF!"/>
      <definedName name="res" refersTo="#REF!"/>
      <definedName name="S" refersTo="#REF!"/>
      <definedName name="TESTE" refersTo="#REF!"/>
      <definedName name="wew" refersTo="#REF!"/>
      <definedName name="WEWRWR" refersTo="#REF!"/>
      <definedName name="xx" refersTo="#REF!"/>
      <definedName name="XXX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>
        <row r="12">
          <cell r="E12">
            <v>2916.8777473920004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opLeftCell="A13" zoomScaleSheetLayoutView="100" workbookViewId="0">
      <selection activeCell="F24" sqref="F24"/>
    </sheetView>
  </sheetViews>
  <sheetFormatPr defaultColWidth="14.42578125" defaultRowHeight="12.75"/>
  <cols>
    <col min="1" max="1" width="9.85546875" style="46" customWidth="1"/>
    <col min="2" max="2" width="9" style="46" customWidth="1"/>
    <col min="3" max="3" width="14" style="46" customWidth="1"/>
    <col min="4" max="4" width="82.42578125" style="47" customWidth="1"/>
    <col min="5" max="5" width="8.28515625" style="44" bestFit="1" customWidth="1"/>
    <col min="6" max="6" width="13.28515625" style="1" customWidth="1"/>
    <col min="7" max="7" width="11.42578125" style="1" customWidth="1"/>
    <col min="8" max="8" width="12.7109375" style="1" customWidth="1"/>
    <col min="9" max="9" width="8.85546875" style="16" customWidth="1"/>
    <col min="10" max="10" width="4.85546875" style="1" customWidth="1"/>
    <col min="11" max="11" width="18.42578125" style="50" customWidth="1"/>
    <col min="12" max="16384" width="14.42578125" style="1"/>
  </cols>
  <sheetData>
    <row r="1" spans="1:11" ht="20.100000000000001" customHeight="1">
      <c r="A1" s="438" t="s">
        <v>0</v>
      </c>
      <c r="B1" s="438"/>
      <c r="C1" s="438"/>
      <c r="D1" s="438"/>
      <c r="E1" s="438"/>
      <c r="F1" s="438"/>
      <c r="G1" s="438"/>
      <c r="H1" s="438"/>
      <c r="I1" s="438"/>
    </row>
    <row r="2" spans="1:11" ht="20.100000000000001" customHeight="1">
      <c r="A2" s="438"/>
      <c r="B2" s="438"/>
      <c r="C2" s="438"/>
      <c r="D2" s="438"/>
      <c r="E2" s="438"/>
      <c r="F2" s="438"/>
      <c r="G2" s="438"/>
      <c r="H2" s="438"/>
      <c r="I2" s="438"/>
    </row>
    <row r="3" spans="1:11" ht="20.100000000000001" customHeight="1">
      <c r="A3" s="2"/>
      <c r="B3" s="2"/>
      <c r="C3" s="2"/>
      <c r="D3" s="3"/>
      <c r="E3" s="3"/>
      <c r="F3" s="3"/>
      <c r="G3" s="3"/>
      <c r="H3" s="3"/>
      <c r="I3" s="3"/>
    </row>
    <row r="4" spans="1:11" s="6" customFormat="1" ht="20.100000000000001" customHeight="1">
      <c r="A4" s="4" t="s">
        <v>1</v>
      </c>
      <c r="B4" s="439" t="s">
        <v>40</v>
      </c>
      <c r="C4" s="439"/>
      <c r="D4" s="439"/>
      <c r="E4" s="3"/>
      <c r="F4" s="440" t="s">
        <v>70</v>
      </c>
      <c r="G4" s="5" t="s">
        <v>43</v>
      </c>
      <c r="I4" s="5"/>
      <c r="K4" s="51"/>
    </row>
    <row r="5" spans="1:11" s="6" customFormat="1" ht="20.100000000000001" customHeight="1">
      <c r="E5" s="3"/>
      <c r="F5" s="440"/>
      <c r="G5" s="5" t="s">
        <v>44</v>
      </c>
      <c r="H5" s="7"/>
      <c r="I5" s="8"/>
      <c r="K5" s="51"/>
    </row>
    <row r="6" spans="1:11" s="6" customFormat="1" ht="20.100000000000001" customHeight="1">
      <c r="A6" s="4" t="s">
        <v>2</v>
      </c>
      <c r="B6" s="441" t="s">
        <v>58</v>
      </c>
      <c r="C6" s="441"/>
      <c r="D6" s="441"/>
      <c r="E6" s="9"/>
      <c r="F6" s="10" t="s">
        <v>5</v>
      </c>
      <c r="G6" s="11">
        <v>0.2777</v>
      </c>
      <c r="I6" s="11"/>
      <c r="K6" s="51"/>
    </row>
    <row r="7" spans="1:11" s="6" customFormat="1" ht="20.100000000000001" customHeight="1">
      <c r="B7" s="441" t="s">
        <v>59</v>
      </c>
      <c r="C7" s="441"/>
      <c r="D7" s="441"/>
      <c r="E7" s="9"/>
      <c r="F7" s="10"/>
      <c r="G7" s="11"/>
      <c r="I7" s="11"/>
      <c r="K7" s="51"/>
    </row>
    <row r="8" spans="1:11" s="6" customFormat="1" ht="20.100000000000001" customHeight="1">
      <c r="A8" s="4" t="s">
        <v>3</v>
      </c>
      <c r="B8" s="441" t="s">
        <v>4</v>
      </c>
      <c r="C8" s="441"/>
      <c r="D8" s="441"/>
      <c r="E8" s="9"/>
      <c r="F8" s="10" t="s">
        <v>41</v>
      </c>
      <c r="G8" s="48">
        <v>1652.5</v>
      </c>
      <c r="H8" s="10" t="s">
        <v>42</v>
      </c>
      <c r="I8" s="48">
        <v>7</v>
      </c>
      <c r="K8" s="51"/>
    </row>
    <row r="9" spans="1:11" ht="6" customHeight="1">
      <c r="A9" s="12"/>
      <c r="B9" s="12"/>
      <c r="C9" s="12"/>
      <c r="D9" s="13"/>
      <c r="E9" s="14"/>
      <c r="F9" s="15"/>
      <c r="G9" s="48"/>
      <c r="H9" s="15"/>
    </row>
    <row r="10" spans="1:11" s="20" customFormat="1" ht="30" customHeight="1">
      <c r="A10" s="17" t="s">
        <v>6</v>
      </c>
      <c r="B10" s="442" t="s">
        <v>47</v>
      </c>
      <c r="C10" s="443"/>
      <c r="D10" s="18" t="s">
        <v>7</v>
      </c>
      <c r="E10" s="17" t="s">
        <v>8</v>
      </c>
      <c r="F10" s="17" t="s">
        <v>9</v>
      </c>
      <c r="G10" s="18" t="s">
        <v>10</v>
      </c>
      <c r="H10" s="18" t="s">
        <v>11</v>
      </c>
      <c r="I10" s="19" t="s">
        <v>12</v>
      </c>
      <c r="K10" s="53" t="s">
        <v>49</v>
      </c>
    </row>
    <row r="11" spans="1:11" s="27" customFormat="1" ht="20.100000000000001" customHeight="1">
      <c r="A11" s="21">
        <v>1</v>
      </c>
      <c r="B11" s="22"/>
      <c r="C11" s="22"/>
      <c r="D11" s="22" t="s">
        <v>48</v>
      </c>
      <c r="E11" s="23"/>
      <c r="F11" s="24"/>
      <c r="G11" s="24"/>
      <c r="H11" s="25">
        <f>SUM(H12:H25)</f>
        <v>220201.53999999998</v>
      </c>
      <c r="I11" s="26">
        <f>H11/H26</f>
        <v>1</v>
      </c>
      <c r="K11" s="52"/>
    </row>
    <row r="12" spans="1:11" s="15" customFormat="1" ht="20.100000000000001" customHeight="1">
      <c r="A12" s="28" t="s">
        <v>13</v>
      </c>
      <c r="B12" s="28" t="s">
        <v>27</v>
      </c>
      <c r="C12" s="28" t="s">
        <v>30</v>
      </c>
      <c r="D12" s="29" t="s">
        <v>31</v>
      </c>
      <c r="E12" s="30" t="s">
        <v>25</v>
      </c>
      <c r="F12" s="31">
        <f>TRUNC(G8*I8,2)</f>
        <v>11567.5</v>
      </c>
      <c r="G12" s="32">
        <f>TRUNC(K12+(K12*$G$6),2)</f>
        <v>0.79</v>
      </c>
      <c r="H12" s="33">
        <f>TRUNC(F12*G12,2)</f>
        <v>9138.32</v>
      </c>
      <c r="I12" s="34">
        <f>H12/$H$26</f>
        <v>4.1499800591766979E-2</v>
      </c>
      <c r="K12" s="50">
        <v>0.62</v>
      </c>
    </row>
    <row r="13" spans="1:11" s="15" customFormat="1" ht="20.100000000000001" customHeight="1">
      <c r="A13" s="28" t="s">
        <v>15</v>
      </c>
      <c r="B13" s="28" t="s">
        <v>27</v>
      </c>
      <c r="C13" s="28" t="s">
        <v>32</v>
      </c>
      <c r="D13" s="29" t="s">
        <v>69</v>
      </c>
      <c r="E13" s="30" t="s">
        <v>14</v>
      </c>
      <c r="F13" s="31">
        <f>TRUNC(F12*0.2,3)</f>
        <v>2313.5</v>
      </c>
      <c r="G13" s="32">
        <f t="shared" ref="G13:G24" si="0">TRUNC(K13+(K13*$G$6),2)</f>
        <v>13.04</v>
      </c>
      <c r="H13" s="33">
        <f>TRUNC(F13*G13,2)</f>
        <v>30168.04</v>
      </c>
      <c r="I13" s="34">
        <f>H13/$H$26</f>
        <v>0.13700194830608362</v>
      </c>
      <c r="K13" s="50">
        <v>10.210000000000001</v>
      </c>
    </row>
    <row r="14" spans="1:11" s="15" customFormat="1" ht="20.100000000000001" customHeight="1">
      <c r="A14" s="28" t="s">
        <v>16</v>
      </c>
      <c r="B14" s="28" t="s">
        <v>27</v>
      </c>
      <c r="C14" s="28" t="s">
        <v>23</v>
      </c>
      <c r="D14" s="29" t="s">
        <v>24</v>
      </c>
      <c r="E14" s="30" t="s">
        <v>25</v>
      </c>
      <c r="F14" s="31">
        <f>TRUNC(G8*I8,2)</f>
        <v>11567.5</v>
      </c>
      <c r="G14" s="32">
        <f t="shared" si="0"/>
        <v>0.28999999999999998</v>
      </c>
      <c r="H14" s="33">
        <f t="shared" ref="H14:H24" si="1">TRUNC(F14*G14,2)</f>
        <v>3354.57</v>
      </c>
      <c r="I14" s="34">
        <f>H14/$H$26</f>
        <v>1.5234089643514756E-2</v>
      </c>
      <c r="K14" s="50">
        <v>0.23</v>
      </c>
    </row>
    <row r="15" spans="1:11" s="15" customFormat="1" ht="20.100000000000001" customHeight="1">
      <c r="A15" s="28" t="s">
        <v>17</v>
      </c>
      <c r="B15" s="28" t="s">
        <v>27</v>
      </c>
      <c r="C15" s="28" t="s">
        <v>33</v>
      </c>
      <c r="D15" s="29" t="s">
        <v>50</v>
      </c>
      <c r="E15" s="30" t="s">
        <v>25</v>
      </c>
      <c r="F15" s="31">
        <f>TRUNC(G8*I8,2)</f>
        <v>11567.5</v>
      </c>
      <c r="G15" s="32">
        <f t="shared" si="0"/>
        <v>3.39</v>
      </c>
      <c r="H15" s="33">
        <f t="shared" si="1"/>
        <v>39213.82</v>
      </c>
      <c r="I15" s="34">
        <f>H15/$H$26</f>
        <v>0.17808149752267854</v>
      </c>
      <c r="K15" s="50">
        <v>2.66</v>
      </c>
    </row>
    <row r="16" spans="1:11" s="15" customFormat="1" ht="20.100000000000001" customHeight="1">
      <c r="A16" s="28" t="s">
        <v>18</v>
      </c>
      <c r="B16" s="28" t="s">
        <v>27</v>
      </c>
      <c r="C16" s="28" t="s">
        <v>34</v>
      </c>
      <c r="D16" s="29" t="s">
        <v>35</v>
      </c>
      <c r="E16" s="30" t="s">
        <v>25</v>
      </c>
      <c r="F16" s="31">
        <f>TRUNC(G8*I8,2)</f>
        <v>11567.5</v>
      </c>
      <c r="G16" s="32">
        <f t="shared" si="0"/>
        <v>0.67</v>
      </c>
      <c r="H16" s="33">
        <f t="shared" si="1"/>
        <v>7750.22</v>
      </c>
      <c r="I16" s="34">
        <f t="shared" ref="I16" si="2">H16/$H$26</f>
        <v>3.519602996418645E-2</v>
      </c>
      <c r="K16" s="50">
        <v>0.53</v>
      </c>
    </row>
    <row r="17" spans="1:12" s="15" customFormat="1" ht="20.100000000000001" customHeight="1">
      <c r="A17" s="28" t="s">
        <v>19</v>
      </c>
      <c r="B17" s="28" t="s">
        <v>27</v>
      </c>
      <c r="C17" s="28" t="s">
        <v>37</v>
      </c>
      <c r="D17" s="29" t="s">
        <v>51</v>
      </c>
      <c r="E17" s="30" t="s">
        <v>28</v>
      </c>
      <c r="F17" s="31">
        <f>TRUNC(F14*0.0012,3)</f>
        <v>13.881</v>
      </c>
      <c r="G17" s="32">
        <f t="shared" si="0"/>
        <v>2602.0300000000002</v>
      </c>
      <c r="H17" s="33">
        <f t="shared" si="1"/>
        <v>36118.769999999997</v>
      </c>
      <c r="I17" s="34">
        <f t="shared" ref="I17:I24" si="3">H17/$H$26</f>
        <v>0.16402596457772275</v>
      </c>
      <c r="K17" s="50">
        <v>2036.5</v>
      </c>
    </row>
    <row r="18" spans="1:12" s="15" customFormat="1" ht="20.100000000000001" customHeight="1">
      <c r="A18" s="28" t="s">
        <v>21</v>
      </c>
      <c r="B18" s="28" t="s">
        <v>27</v>
      </c>
      <c r="C18" s="28" t="s">
        <v>38</v>
      </c>
      <c r="D18" s="29" t="s">
        <v>52</v>
      </c>
      <c r="E18" s="30" t="s">
        <v>28</v>
      </c>
      <c r="F18" s="31">
        <f>TRUNC(F15*0.003,3)</f>
        <v>34.701999999999998</v>
      </c>
      <c r="G18" s="32">
        <f>TRUNC(K18+(K18*$G$6),2)</f>
        <v>1405.47</v>
      </c>
      <c r="H18" s="33">
        <f>TRUNC(F18*G18,2)</f>
        <v>48772.61</v>
      </c>
      <c r="I18" s="34">
        <f t="shared" si="3"/>
        <v>0.22149077613172008</v>
      </c>
      <c r="K18" s="50">
        <v>1100</v>
      </c>
    </row>
    <row r="19" spans="1:12" s="15" customFormat="1" ht="20.100000000000001" customHeight="1">
      <c r="A19" s="28" t="s">
        <v>20</v>
      </c>
      <c r="B19" s="28" t="s">
        <v>27</v>
      </c>
      <c r="C19" s="28" t="s">
        <v>29</v>
      </c>
      <c r="D19" s="29" t="s">
        <v>55</v>
      </c>
      <c r="E19" s="30" t="s">
        <v>28</v>
      </c>
      <c r="F19" s="31">
        <f>F17</f>
        <v>13.881</v>
      </c>
      <c r="G19" s="32">
        <f t="shared" si="0"/>
        <v>117.1</v>
      </c>
      <c r="H19" s="33">
        <f t="shared" si="1"/>
        <v>1625.46</v>
      </c>
      <c r="I19" s="34">
        <f t="shared" si="3"/>
        <v>7.3816922442958401E-3</v>
      </c>
      <c r="K19" s="50">
        <v>91.65</v>
      </c>
    </row>
    <row r="20" spans="1:12" s="15" customFormat="1" ht="20.100000000000001" customHeight="1">
      <c r="A20" s="28" t="s">
        <v>22</v>
      </c>
      <c r="B20" s="28" t="s">
        <v>27</v>
      </c>
      <c r="C20" s="28" t="s">
        <v>29</v>
      </c>
      <c r="D20" s="29" t="s">
        <v>56</v>
      </c>
      <c r="E20" s="30" t="s">
        <v>28</v>
      </c>
      <c r="F20" s="31">
        <f>F18</f>
        <v>34.701999999999998</v>
      </c>
      <c r="G20" s="32">
        <f t="shared" si="0"/>
        <v>117.1</v>
      </c>
      <c r="H20" s="33">
        <f t="shared" si="1"/>
        <v>4063.6</v>
      </c>
      <c r="I20" s="34">
        <f t="shared" si="3"/>
        <v>1.8454003546024247E-2</v>
      </c>
      <c r="K20" s="50">
        <v>91.65</v>
      </c>
    </row>
    <row r="21" spans="1:12" s="15" customFormat="1" ht="20.100000000000001" customHeight="1">
      <c r="A21" s="28" t="s">
        <v>63</v>
      </c>
      <c r="B21" s="28" t="s">
        <v>27</v>
      </c>
      <c r="C21" s="28" t="s">
        <v>36</v>
      </c>
      <c r="D21" s="29" t="s">
        <v>61</v>
      </c>
      <c r="E21" s="30" t="s">
        <v>53</v>
      </c>
      <c r="F21" s="31">
        <f>TRUNC(F13*1.84*3.15,3)</f>
        <v>13409.046</v>
      </c>
      <c r="G21" s="32">
        <f t="shared" si="0"/>
        <v>0.72</v>
      </c>
      <c r="H21" s="33">
        <f t="shared" si="1"/>
        <v>9654.51</v>
      </c>
      <c r="I21" s="34">
        <f t="shared" si="3"/>
        <v>4.3843971300109898E-2</v>
      </c>
      <c r="K21" s="50">
        <v>0.56999999999999995</v>
      </c>
    </row>
    <row r="22" spans="1:12" s="15" customFormat="1" ht="20.100000000000001" customHeight="1">
      <c r="A22" s="28" t="s">
        <v>64</v>
      </c>
      <c r="B22" s="28" t="s">
        <v>27</v>
      </c>
      <c r="C22" s="28" t="s">
        <v>60</v>
      </c>
      <c r="D22" s="29" t="s">
        <v>62</v>
      </c>
      <c r="E22" s="30" t="s">
        <v>53</v>
      </c>
      <c r="F22" s="31">
        <f>TRUNC(F13*1.84*10,3)</f>
        <v>42568.4</v>
      </c>
      <c r="G22" s="32">
        <f t="shared" si="0"/>
        <v>0.57999999999999996</v>
      </c>
      <c r="H22" s="33">
        <f t="shared" si="1"/>
        <v>24689.67</v>
      </c>
      <c r="I22" s="34">
        <f t="shared" si="3"/>
        <v>0.11212305781331049</v>
      </c>
      <c r="K22" s="50">
        <v>0.46</v>
      </c>
    </row>
    <row r="23" spans="1:12" s="15" customFormat="1" ht="20.100000000000001" customHeight="1">
      <c r="A23" s="28" t="s">
        <v>65</v>
      </c>
      <c r="B23" s="28" t="s">
        <v>27</v>
      </c>
      <c r="C23" s="28" t="s">
        <v>54</v>
      </c>
      <c r="D23" s="29" t="s">
        <v>68</v>
      </c>
      <c r="E23" s="30" t="s">
        <v>53</v>
      </c>
      <c r="F23" s="31">
        <f>TRUNC(F15*0.0371*7.5,3)</f>
        <v>3218.6559999999999</v>
      </c>
      <c r="G23" s="32">
        <f t="shared" si="0"/>
        <v>0.56000000000000005</v>
      </c>
      <c r="H23" s="33">
        <f t="shared" si="1"/>
        <v>1802.44</v>
      </c>
      <c r="I23" s="34">
        <f t="shared" si="3"/>
        <v>8.1854105107530134E-3</v>
      </c>
      <c r="K23" s="50">
        <v>0.44</v>
      </c>
    </row>
    <row r="24" spans="1:12" s="15" customFormat="1" ht="20.100000000000001" customHeight="1">
      <c r="A24" s="28" t="s">
        <v>66</v>
      </c>
      <c r="B24" s="28" t="s">
        <v>27</v>
      </c>
      <c r="C24" s="28" t="s">
        <v>26</v>
      </c>
      <c r="D24" s="29" t="s">
        <v>67</v>
      </c>
      <c r="E24" s="30" t="s">
        <v>53</v>
      </c>
      <c r="F24" s="31">
        <f>TRUNC(F15*0.0371*23,3)</f>
        <v>9870.5470000000005</v>
      </c>
      <c r="G24" s="32">
        <f t="shared" si="0"/>
        <v>0.39</v>
      </c>
      <c r="H24" s="33">
        <f t="shared" si="1"/>
        <v>3849.51</v>
      </c>
      <c r="I24" s="34">
        <f t="shared" si="3"/>
        <v>1.7481757847833401E-2</v>
      </c>
      <c r="K24" s="50">
        <v>0.31</v>
      </c>
    </row>
    <row r="25" spans="1:12" s="15" customFormat="1" ht="20.100000000000001" customHeight="1">
      <c r="A25" s="35"/>
      <c r="B25" s="35"/>
      <c r="C25" s="35"/>
      <c r="D25" s="36"/>
      <c r="E25" s="37"/>
      <c r="F25" s="38"/>
      <c r="G25" s="39"/>
      <c r="H25" s="40"/>
      <c r="I25" s="41"/>
      <c r="K25" s="50"/>
    </row>
    <row r="26" spans="1:12" ht="25.5" customHeight="1">
      <c r="A26" s="435" t="s">
        <v>39</v>
      </c>
      <c r="B26" s="436"/>
      <c r="C26" s="436"/>
      <c r="D26" s="436"/>
      <c r="E26" s="436"/>
      <c r="F26" s="437"/>
      <c r="G26" s="55" t="s">
        <v>57</v>
      </c>
      <c r="H26" s="56">
        <f>H11</f>
        <v>220201.53999999998</v>
      </c>
      <c r="I26" s="54">
        <f>H26/H26</f>
        <v>1</v>
      </c>
    </row>
    <row r="27" spans="1:12" ht="20.100000000000001" customHeight="1">
      <c r="A27" s="45" t="s">
        <v>46</v>
      </c>
      <c r="B27" s="42"/>
      <c r="C27" s="42"/>
      <c r="D27" s="43"/>
    </row>
    <row r="28" spans="1:12" ht="20.100000000000001" customHeight="1">
      <c r="A28" s="45" t="s">
        <v>45</v>
      </c>
      <c r="H28" s="57"/>
      <c r="I28" s="49"/>
    </row>
    <row r="29" spans="1:12" s="46" customFormat="1" ht="20.100000000000001" customHeight="1">
      <c r="D29" s="47"/>
      <c r="E29" s="44"/>
      <c r="F29" s="1"/>
      <c r="G29" s="1"/>
      <c r="H29" s="1"/>
      <c r="I29" s="16"/>
      <c r="J29" s="1"/>
      <c r="K29" s="50"/>
      <c r="L29" s="1"/>
    </row>
    <row r="30" spans="1:12" s="46" customFormat="1" ht="20.100000000000001" customHeight="1">
      <c r="D30" s="47"/>
      <c r="E30" s="44"/>
      <c r="F30" s="1"/>
      <c r="G30" s="1"/>
      <c r="H30" s="1"/>
      <c r="I30" s="16"/>
      <c r="J30" s="1"/>
      <c r="K30" s="50"/>
      <c r="L30" s="1"/>
    </row>
    <row r="31" spans="1:12" s="46" customFormat="1" ht="20.100000000000001" customHeight="1">
      <c r="D31" s="47"/>
      <c r="E31" s="44"/>
      <c r="F31" s="1"/>
      <c r="G31" s="1"/>
      <c r="H31" s="1"/>
      <c r="I31" s="16"/>
      <c r="J31" s="1"/>
      <c r="K31" s="50"/>
      <c r="L31" s="1"/>
    </row>
    <row r="32" spans="1:12" s="46" customFormat="1" ht="20.100000000000001" customHeight="1">
      <c r="D32" s="47"/>
      <c r="E32" s="44"/>
      <c r="F32" s="1"/>
      <c r="G32" s="1"/>
      <c r="H32" s="1"/>
      <c r="I32" s="16"/>
      <c r="J32" s="1"/>
      <c r="K32" s="50"/>
      <c r="L32" s="1"/>
    </row>
    <row r="33" spans="4:12" s="46" customFormat="1" ht="20.100000000000001" customHeight="1">
      <c r="D33" s="47"/>
      <c r="E33" s="44"/>
      <c r="F33" s="1"/>
      <c r="G33" s="1"/>
      <c r="H33" s="1"/>
      <c r="I33" s="16"/>
      <c r="J33" s="1"/>
      <c r="K33" s="50"/>
      <c r="L33" s="1"/>
    </row>
    <row r="34" spans="4:12" s="46" customFormat="1" ht="20.100000000000001" customHeight="1">
      <c r="D34" s="47"/>
      <c r="E34" s="44"/>
      <c r="F34" s="1"/>
      <c r="G34" s="1"/>
      <c r="H34" s="1"/>
      <c r="I34" s="16"/>
      <c r="J34" s="1"/>
      <c r="K34" s="50"/>
      <c r="L34" s="1"/>
    </row>
    <row r="35" spans="4:12" s="46" customFormat="1" ht="20.100000000000001" customHeight="1">
      <c r="D35" s="47"/>
      <c r="E35" s="44"/>
      <c r="F35" s="1"/>
      <c r="G35" s="1"/>
      <c r="H35" s="1"/>
      <c r="I35" s="16"/>
      <c r="J35" s="1"/>
      <c r="K35" s="50"/>
      <c r="L35" s="1"/>
    </row>
    <row r="36" spans="4:12" s="46" customFormat="1" ht="20.100000000000001" customHeight="1">
      <c r="D36" s="47"/>
      <c r="E36" s="44"/>
      <c r="F36" s="1"/>
      <c r="G36" s="1"/>
      <c r="H36" s="1"/>
      <c r="I36" s="16"/>
      <c r="J36" s="1"/>
      <c r="K36" s="50"/>
      <c r="L36" s="1"/>
    </row>
    <row r="37" spans="4:12" s="46" customFormat="1" ht="20.100000000000001" customHeight="1">
      <c r="D37" s="47"/>
      <c r="E37" s="44"/>
      <c r="F37" s="1"/>
      <c r="G37" s="1"/>
      <c r="H37" s="1"/>
      <c r="I37" s="16"/>
      <c r="J37" s="1"/>
      <c r="K37" s="50"/>
      <c r="L37" s="1"/>
    </row>
    <row r="38" spans="4:12" s="46" customFormat="1" ht="20.100000000000001" customHeight="1">
      <c r="D38" s="47"/>
      <c r="E38" s="44"/>
      <c r="F38" s="1"/>
      <c r="G38" s="1"/>
      <c r="H38" s="1"/>
      <c r="I38" s="16"/>
      <c r="J38" s="1"/>
      <c r="K38" s="50"/>
      <c r="L38" s="1"/>
    </row>
  </sheetData>
  <mergeCells count="8">
    <mergeCell ref="A26:F26"/>
    <mergeCell ref="A1:I2"/>
    <mergeCell ref="B4:D4"/>
    <mergeCell ref="F4:F5"/>
    <mergeCell ref="B6:D6"/>
    <mergeCell ref="B8:D8"/>
    <mergeCell ref="B10:C10"/>
    <mergeCell ref="B7:D7"/>
  </mergeCells>
  <printOptions horizontalCentered="1"/>
  <pageMargins left="0.78740157480314965" right="2.0866141732283467" top="0.86614173228346458" bottom="0.59055118110236227" header="0.27559055118110237" footer="0.39370078740157483"/>
  <pageSetup paperSize="9" scale="66" orientation="landscape" verticalDpi="1200" r:id="rId1"/>
  <headerFooter alignWithMargins="0">
    <oddFooter>&amp;C&amp;10Página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H2" sqref="H2"/>
    </sheetView>
  </sheetViews>
  <sheetFormatPr defaultRowHeight="15"/>
  <cols>
    <col min="4" max="4" width="13.140625" bestFit="1" customWidth="1"/>
    <col min="5" max="5" width="7.5703125" bestFit="1" customWidth="1"/>
    <col min="6" max="6" width="13.28515625" bestFit="1" customWidth="1"/>
    <col min="7" max="7" width="19.85546875" style="59" customWidth="1"/>
    <col min="8" max="8" width="15.5703125" bestFit="1" customWidth="1"/>
  </cols>
  <sheetData>
    <row r="1" spans="2:10">
      <c r="C1" t="s">
        <v>275</v>
      </c>
      <c r="D1" t="s">
        <v>276</v>
      </c>
      <c r="E1" t="s">
        <v>277</v>
      </c>
      <c r="F1" t="s">
        <v>278</v>
      </c>
      <c r="G1" s="59" t="s">
        <v>279</v>
      </c>
      <c r="H1" t="s">
        <v>280</v>
      </c>
    </row>
    <row r="2" spans="2:10">
      <c r="B2" s="384">
        <v>0.4</v>
      </c>
      <c r="C2">
        <f>TRUNC(0.25*PI()*B2*B2,3)</f>
        <v>0.125</v>
      </c>
      <c r="D2" s="380">
        <f>'ORÇAMENTO  (PROJETO)'!F30</f>
        <v>144</v>
      </c>
      <c r="E2" s="380">
        <v>1</v>
      </c>
      <c r="F2" s="380">
        <v>1.1499999999999999</v>
      </c>
      <c r="G2" s="381">
        <f>TRUNC(D2*E2*F2,3)</f>
        <v>165.6</v>
      </c>
      <c r="H2">
        <f>TRUNC(G2-(C2*D2),3)</f>
        <v>147.6</v>
      </c>
    </row>
    <row r="3" spans="2:10">
      <c r="B3" s="384">
        <v>0.6</v>
      </c>
      <c r="C3">
        <f>TRUNC(0.25*PI()*B3*B3,3)</f>
        <v>0.28199999999999997</v>
      </c>
      <c r="D3" s="380">
        <f>'ORÇAMENTO  (PROJETO)'!F31</f>
        <v>712.5</v>
      </c>
      <c r="E3" s="380">
        <v>1.4</v>
      </c>
      <c r="F3" s="380">
        <v>1.4</v>
      </c>
      <c r="G3" s="381">
        <f>TRUNC(D3*E3*F3,3)</f>
        <v>1396.5</v>
      </c>
      <c r="H3">
        <f>TRUNC(G3-(C3*D3),3)</f>
        <v>1195.575</v>
      </c>
    </row>
    <row r="4" spans="2:10">
      <c r="B4" s="384">
        <v>0.8</v>
      </c>
      <c r="C4">
        <f>TRUNC(0.25*PI()*B4*B4,3)</f>
        <v>0.502</v>
      </c>
      <c r="D4" s="380">
        <f>'ORÇAMENTO  (PROJETO)'!F32</f>
        <v>675</v>
      </c>
      <c r="E4" s="380">
        <v>1.6</v>
      </c>
      <c r="F4" s="380">
        <v>1.8</v>
      </c>
      <c r="G4" s="381">
        <f>TRUNC(D4*E4*F4,3)</f>
        <v>1944</v>
      </c>
      <c r="H4">
        <f>TRUNC(G4-(C4*D4),3)</f>
        <v>1605.15</v>
      </c>
    </row>
    <row r="5" spans="2:10">
      <c r="B5" s="384">
        <v>1</v>
      </c>
      <c r="C5">
        <f t="shared" ref="C5:C6" si="0">TRUNC(0.25*PI()*B5*B5,3)</f>
        <v>0.78500000000000003</v>
      </c>
      <c r="D5" s="380">
        <f>'ORÇAMENTO  (PROJETO)'!F33</f>
        <v>145</v>
      </c>
      <c r="E5" s="380">
        <v>1.8</v>
      </c>
      <c r="F5" s="380">
        <v>2</v>
      </c>
      <c r="G5" s="381">
        <f t="shared" ref="G5:G6" si="1">TRUNC(D5*E5*F5,3)</f>
        <v>522</v>
      </c>
      <c r="H5">
        <f t="shared" ref="H5:H6" si="2">TRUNC(G5-(C5*D5),3)</f>
        <v>408.17500000000001</v>
      </c>
    </row>
    <row r="6" spans="2:10">
      <c r="B6" s="384">
        <v>1.2</v>
      </c>
      <c r="C6">
        <f t="shared" si="0"/>
        <v>1.1299999999999999</v>
      </c>
      <c r="D6" s="380">
        <f>'ORÇAMENTO  (PROJETO)'!F34</f>
        <v>760</v>
      </c>
      <c r="E6" s="380">
        <v>1.6</v>
      </c>
      <c r="F6" s="380">
        <v>2.5</v>
      </c>
      <c r="G6" s="381">
        <f t="shared" si="1"/>
        <v>3040</v>
      </c>
      <c r="H6">
        <f t="shared" si="2"/>
        <v>2181.1999999999998</v>
      </c>
      <c r="J6">
        <f t="shared" ref="J6" si="3">D6*E6</f>
        <v>1216</v>
      </c>
    </row>
    <row r="7" spans="2:10">
      <c r="D7" s="382">
        <f>SUM(D3:D6)</f>
        <v>2292.5</v>
      </c>
      <c r="G7" s="383">
        <f>SUM(G2:G6)</f>
        <v>7068.1</v>
      </c>
      <c r="H7" s="380">
        <f>SUM(H2:H6)</f>
        <v>5537.7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80" zoomScaleSheetLayoutView="80" workbookViewId="0">
      <selection sqref="A1:C26"/>
    </sheetView>
  </sheetViews>
  <sheetFormatPr defaultRowHeight="15"/>
  <cols>
    <col min="1" max="1" width="40.140625" customWidth="1"/>
    <col min="2" max="2" width="29.140625" customWidth="1"/>
    <col min="3" max="3" width="14" customWidth="1"/>
    <col min="4" max="4" width="14.28515625" customWidth="1"/>
  </cols>
  <sheetData>
    <row r="1" spans="1:8" ht="33.75" customHeight="1">
      <c r="A1" s="476" t="s">
        <v>308</v>
      </c>
      <c r="B1" s="477"/>
      <c r="C1" s="478"/>
      <c r="D1" s="431"/>
    </row>
    <row r="2" spans="1:8" ht="20.25">
      <c r="A2" s="403"/>
      <c r="B2" s="404"/>
      <c r="C2" s="405"/>
      <c r="D2" s="431"/>
    </row>
    <row r="3" spans="1:8">
      <c r="A3" s="406"/>
      <c r="B3" s="407" t="s">
        <v>309</v>
      </c>
      <c r="C3" s="408">
        <v>43344</v>
      </c>
      <c r="D3" s="432"/>
    </row>
    <row r="4" spans="1:8" ht="15.75" thickBot="1">
      <c r="A4" s="406"/>
      <c r="B4" s="409"/>
      <c r="C4" s="408"/>
      <c r="D4" s="432"/>
    </row>
    <row r="5" spans="1:8" ht="15.75" thickBot="1">
      <c r="A5" s="479" t="s">
        <v>310</v>
      </c>
      <c r="B5" s="480"/>
      <c r="C5" s="410" t="s">
        <v>78</v>
      </c>
      <c r="D5" s="432"/>
    </row>
    <row r="6" spans="1:8">
      <c r="A6" s="411" t="s">
        <v>311</v>
      </c>
      <c r="B6" s="412"/>
      <c r="C6" s="413">
        <v>4.4699999999999997E-2</v>
      </c>
      <c r="D6" s="433"/>
    </row>
    <row r="7" spans="1:8">
      <c r="A7" s="414" t="s">
        <v>312</v>
      </c>
      <c r="B7" s="422"/>
      <c r="C7" s="415">
        <v>1.0500000000000001E-2</v>
      </c>
      <c r="D7" s="156"/>
    </row>
    <row r="8" spans="1:8">
      <c r="A8" s="414" t="s">
        <v>313</v>
      </c>
      <c r="B8" s="422"/>
      <c r="C8" s="415">
        <v>9.7000000000000003E-3</v>
      </c>
      <c r="D8" s="156"/>
    </row>
    <row r="9" spans="1:8" ht="15.75" thickBot="1">
      <c r="A9" s="416" t="s">
        <v>314</v>
      </c>
      <c r="B9" s="417"/>
      <c r="C9" s="418">
        <v>4.4000000000000003E-3</v>
      </c>
      <c r="D9" s="156"/>
    </row>
    <row r="10" spans="1:8" ht="15.75" thickBot="1">
      <c r="A10" s="419"/>
      <c r="B10" s="420" t="s">
        <v>315</v>
      </c>
      <c r="C10" s="421">
        <f>SUM(C6:C9)</f>
        <v>6.93E-2</v>
      </c>
      <c r="D10" s="156"/>
    </row>
    <row r="11" spans="1:8" ht="15.75" thickBot="1">
      <c r="A11" s="479" t="s">
        <v>316</v>
      </c>
      <c r="B11" s="480"/>
      <c r="C11" s="410" t="s">
        <v>78</v>
      </c>
      <c r="D11" s="156"/>
    </row>
    <row r="12" spans="1:8" ht="15.75" thickBot="1">
      <c r="A12" s="414" t="s">
        <v>317</v>
      </c>
      <c r="B12" s="422"/>
      <c r="C12" s="423">
        <v>7.6700000000000004E-2</v>
      </c>
      <c r="D12" s="433"/>
    </row>
    <row r="13" spans="1:8" ht="15.75" thickBot="1">
      <c r="A13" s="419"/>
      <c r="B13" s="420" t="s">
        <v>315</v>
      </c>
      <c r="C13" s="421">
        <f>SUM(C12)</f>
        <v>7.6700000000000004E-2</v>
      </c>
      <c r="D13" s="156"/>
    </row>
    <row r="14" spans="1:8" ht="15.75" thickBot="1">
      <c r="A14" s="479"/>
      <c r="B14" s="480"/>
      <c r="C14" s="421"/>
      <c r="D14" s="156"/>
    </row>
    <row r="15" spans="1:8" ht="15.75" thickBot="1">
      <c r="A15" s="479" t="s">
        <v>318</v>
      </c>
      <c r="B15" s="480"/>
      <c r="C15" s="410" t="s">
        <v>78</v>
      </c>
      <c r="D15" s="156"/>
      <c r="H15">
        <f>((1+C6+C9+C8)*(1+C7)*(1+C12))/(1-C19)-1</f>
        <v>0.22096456235294126</v>
      </c>
    </row>
    <row r="16" spans="1:8">
      <c r="A16" s="414" t="s">
        <v>319</v>
      </c>
      <c r="B16" s="424"/>
      <c r="C16" s="415">
        <v>6.4999999999999997E-3</v>
      </c>
      <c r="D16" s="156"/>
    </row>
    <row r="17" spans="1:4">
      <c r="A17" s="414" t="s">
        <v>320</v>
      </c>
      <c r="B17" s="424"/>
      <c r="C17" s="415">
        <v>0.03</v>
      </c>
      <c r="D17" s="156"/>
    </row>
    <row r="18" spans="1:4" ht="15.75" thickBot="1">
      <c r="A18" s="414" t="s">
        <v>321</v>
      </c>
      <c r="B18" s="424"/>
      <c r="C18" s="415">
        <v>0.02</v>
      </c>
      <c r="D18" s="156"/>
    </row>
    <row r="19" spans="1:4" ht="15.75" thickBot="1">
      <c r="A19" s="419"/>
      <c r="B19" s="420" t="s">
        <v>315</v>
      </c>
      <c r="C19" s="421">
        <f>SUM(C16:C18)</f>
        <v>5.6499999999999995E-2</v>
      </c>
      <c r="D19" s="156"/>
    </row>
    <row r="20" spans="1:4" ht="15.75" thickBot="1">
      <c r="A20" s="419"/>
      <c r="B20" s="425"/>
      <c r="C20" s="426"/>
      <c r="D20" s="156"/>
    </row>
    <row r="21" spans="1:4">
      <c r="A21" s="474"/>
      <c r="B21" s="475"/>
      <c r="C21" s="427"/>
      <c r="D21" s="434">
        <f>(1+C6+C8+C9)*(1+C7)*(1+C12)</f>
        <v>1.15198006458</v>
      </c>
    </row>
    <row r="22" spans="1:4" ht="15.75" thickBot="1">
      <c r="A22" s="428"/>
      <c r="B22" s="429" t="s">
        <v>322</v>
      </c>
      <c r="C22" s="430">
        <f>TRUNC((D21/D22)-1,4)</f>
        <v>0.22090000000000001</v>
      </c>
      <c r="D22" s="434">
        <f>(1-C19)</f>
        <v>0.94350000000000001</v>
      </c>
    </row>
    <row r="24" spans="1:4">
      <c r="A24" s="45" t="s">
        <v>299</v>
      </c>
      <c r="B24" s="42"/>
    </row>
    <row r="25" spans="1:4">
      <c r="A25" s="46" t="s">
        <v>325</v>
      </c>
    </row>
    <row r="26" spans="1:4">
      <c r="A26" s="46" t="s">
        <v>326</v>
      </c>
    </row>
  </sheetData>
  <mergeCells count="6">
    <mergeCell ref="A21:B21"/>
    <mergeCell ref="A1:C1"/>
    <mergeCell ref="A5:B5"/>
    <mergeCell ref="A11:B11"/>
    <mergeCell ref="A14:B14"/>
    <mergeCell ref="A15:B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showGridLines="0" tabSelected="1" view="pageBreakPreview" zoomScaleSheetLayoutView="100" workbookViewId="0">
      <selection activeCell="A58" sqref="A58:H58"/>
    </sheetView>
  </sheetViews>
  <sheetFormatPr defaultColWidth="14.42578125" defaultRowHeight="12.75"/>
  <cols>
    <col min="1" max="1" width="9.85546875" style="46" customWidth="1"/>
    <col min="2" max="2" width="9" style="46" customWidth="1"/>
    <col min="3" max="3" width="22" style="46" bestFit="1" customWidth="1"/>
    <col min="4" max="4" width="95.7109375" style="47" bestFit="1" customWidth="1"/>
    <col min="5" max="5" width="8.28515625" style="44" bestFit="1" customWidth="1"/>
    <col min="6" max="6" width="13.28515625" style="1" customWidth="1"/>
    <col min="7" max="7" width="14.5703125" style="1" customWidth="1"/>
    <col min="8" max="8" width="12.7109375" style="1" customWidth="1"/>
    <col min="9" max="9" width="14.5703125" style="1" bestFit="1" customWidth="1"/>
    <col min="10" max="10" width="14.5703125" style="1" customWidth="1"/>
    <col min="11" max="11" width="8.85546875" style="16" customWidth="1"/>
    <col min="12" max="12" width="11" style="1" customWidth="1"/>
    <col min="13" max="13" width="18.42578125" style="50" customWidth="1"/>
    <col min="14" max="16384" width="14.42578125" style="1"/>
  </cols>
  <sheetData>
    <row r="1" spans="1:14" ht="20.100000000000001" customHeight="1">
      <c r="A1" s="438" t="s">
        <v>128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4" ht="20.100000000000001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4" ht="20.100000000000001" customHeight="1">
      <c r="A3" s="58"/>
      <c r="B3" s="58"/>
      <c r="C3" s="58"/>
      <c r="D3" s="3"/>
      <c r="E3" s="3"/>
      <c r="F3" s="3"/>
      <c r="G3" s="3"/>
      <c r="H3" s="3"/>
      <c r="I3" s="3"/>
      <c r="J3" s="3"/>
      <c r="K3" s="3"/>
    </row>
    <row r="4" spans="1:14" s="6" customFormat="1" ht="20.100000000000001" customHeight="1">
      <c r="A4" s="4" t="s">
        <v>1</v>
      </c>
      <c r="B4" s="439" t="s">
        <v>40</v>
      </c>
      <c r="C4" s="439"/>
      <c r="D4" s="439"/>
      <c r="E4" s="3"/>
      <c r="F4" s="440" t="s">
        <v>70</v>
      </c>
      <c r="G4" s="446" t="s">
        <v>307</v>
      </c>
      <c r="H4" s="446"/>
      <c r="I4" s="446"/>
      <c r="J4" s="446"/>
      <c r="K4" s="446"/>
      <c r="M4" s="51"/>
    </row>
    <row r="5" spans="1:14" s="6" customFormat="1" ht="20.100000000000001" customHeight="1">
      <c r="E5" s="3"/>
      <c r="F5" s="440"/>
      <c r="G5" s="446"/>
      <c r="H5" s="446"/>
      <c r="I5" s="446"/>
      <c r="J5" s="446"/>
      <c r="K5" s="446"/>
      <c r="M5" s="51"/>
    </row>
    <row r="6" spans="1:14" s="6" customFormat="1" ht="20.100000000000001" customHeight="1">
      <c r="A6" s="4" t="s">
        <v>2</v>
      </c>
      <c r="B6" s="441" t="s">
        <v>162</v>
      </c>
      <c r="C6" s="441"/>
      <c r="D6" s="441"/>
      <c r="E6" s="9"/>
      <c r="F6" s="10" t="s">
        <v>5</v>
      </c>
      <c r="G6" s="11">
        <f>BDI!C22</f>
        <v>0.22090000000000001</v>
      </c>
      <c r="H6" s="11"/>
      <c r="K6" s="11"/>
      <c r="M6" s="51"/>
    </row>
    <row r="7" spans="1:14" s="6" customFormat="1" ht="20.100000000000001" customHeight="1">
      <c r="B7" s="441"/>
      <c r="C7" s="441"/>
      <c r="D7" s="441"/>
      <c r="E7" s="9"/>
      <c r="F7" s="10" t="s">
        <v>127</v>
      </c>
      <c r="G7" s="11">
        <v>0.15</v>
      </c>
      <c r="H7" s="11"/>
      <c r="K7" s="11"/>
      <c r="M7" s="51"/>
    </row>
    <row r="8" spans="1:14" s="6" customFormat="1" ht="20.100000000000001" customHeight="1">
      <c r="A8" s="4" t="s">
        <v>3</v>
      </c>
      <c r="B8" s="441" t="s">
        <v>4</v>
      </c>
      <c r="C8" s="441"/>
      <c r="D8" s="441"/>
      <c r="E8" s="9"/>
      <c r="F8" s="10" t="s">
        <v>129</v>
      </c>
      <c r="G8" s="214">
        <v>39035.637000000002</v>
      </c>
      <c r="H8" s="214"/>
      <c r="I8" s="10"/>
      <c r="J8" s="10"/>
      <c r="K8" s="48"/>
      <c r="M8" s="51"/>
    </row>
    <row r="9" spans="1:14" ht="22.5" customHeight="1">
      <c r="A9" s="12"/>
      <c r="B9" s="12"/>
      <c r="C9" s="12"/>
      <c r="D9" s="13"/>
      <c r="E9" s="14"/>
      <c r="F9" s="15"/>
      <c r="G9" s="48"/>
      <c r="H9" s="48"/>
      <c r="I9" s="15"/>
      <c r="J9" s="15"/>
    </row>
    <row r="10" spans="1:14" s="20" customFormat="1" ht="38.25">
      <c r="A10" s="17" t="s">
        <v>6</v>
      </c>
      <c r="B10" s="442" t="s">
        <v>47</v>
      </c>
      <c r="C10" s="443"/>
      <c r="D10" s="18" t="s">
        <v>7</v>
      </c>
      <c r="E10" s="17" t="s">
        <v>8</v>
      </c>
      <c r="F10" s="17" t="s">
        <v>9</v>
      </c>
      <c r="G10" s="18" t="s">
        <v>291</v>
      </c>
      <c r="H10" s="18" t="s">
        <v>292</v>
      </c>
      <c r="I10" s="18" t="s">
        <v>293</v>
      </c>
      <c r="J10" s="18" t="s">
        <v>294</v>
      </c>
      <c r="K10" s="19" t="s">
        <v>12</v>
      </c>
      <c r="M10" s="53"/>
    </row>
    <row r="11" spans="1:14" s="27" customFormat="1" ht="20.100000000000001" customHeight="1">
      <c r="A11" s="21">
        <v>1</v>
      </c>
      <c r="B11" s="22"/>
      <c r="C11" s="22"/>
      <c r="D11" s="22" t="s">
        <v>48</v>
      </c>
      <c r="E11" s="23"/>
      <c r="F11" s="24"/>
      <c r="G11" s="24"/>
      <c r="H11" s="24"/>
      <c r="I11" s="25">
        <f>SUM(I12:I20)</f>
        <v>736344.04999999993</v>
      </c>
      <c r="J11" s="25">
        <f>SUM(J12:J20)</f>
        <v>872890.44000000006</v>
      </c>
      <c r="K11" s="26">
        <f>I11/I58</f>
        <v>0.49198312252074267</v>
      </c>
      <c r="M11" s="52"/>
      <c r="N11" s="300"/>
    </row>
    <row r="12" spans="1:14" s="15" customFormat="1" ht="20.100000000000001" customHeight="1">
      <c r="A12" s="28" t="s">
        <v>13</v>
      </c>
      <c r="B12" s="28" t="s">
        <v>161</v>
      </c>
      <c r="C12" s="298">
        <v>4011209</v>
      </c>
      <c r="D12" s="29" t="s">
        <v>31</v>
      </c>
      <c r="E12" s="30" t="s">
        <v>25</v>
      </c>
      <c r="F12" s="31">
        <f>G8</f>
        <v>39035.637000000002</v>
      </c>
      <c r="G12" s="32">
        <v>0.74</v>
      </c>
      <c r="H12" s="32">
        <f>TRUNC(G12+(G12*$G$6),2)</f>
        <v>0.9</v>
      </c>
      <c r="I12" s="33">
        <f>TRUNC(F12*G12,2)</f>
        <v>28886.37</v>
      </c>
      <c r="J12" s="33">
        <f>TRUNC(F12*H12,2)</f>
        <v>35132.07</v>
      </c>
      <c r="K12" s="34">
        <f t="shared" ref="K12:K20" si="0">I12/$I$58</f>
        <v>1.9300225907834125E-2</v>
      </c>
      <c r="L12" s="50"/>
      <c r="M12" s="299"/>
    </row>
    <row r="13" spans="1:14" s="15" customFormat="1" ht="20.100000000000001" customHeight="1">
      <c r="A13" s="28" t="s">
        <v>15</v>
      </c>
      <c r="B13" s="28" t="s">
        <v>161</v>
      </c>
      <c r="C13" s="298">
        <v>4011219</v>
      </c>
      <c r="D13" s="29" t="s">
        <v>130</v>
      </c>
      <c r="E13" s="30" t="s">
        <v>14</v>
      </c>
      <c r="F13" s="31">
        <f>TRUNC(F12*0.2,3)</f>
        <v>7807.1270000000004</v>
      </c>
      <c r="G13" s="32">
        <v>7.88</v>
      </c>
      <c r="H13" s="32">
        <f t="shared" ref="H13:H20" si="1">TRUNC(G13+(G13*$G$6),2)</f>
        <v>9.6199999999999992</v>
      </c>
      <c r="I13" s="33">
        <f t="shared" ref="I13:I20" si="2">TRUNC(F13*G13,2)</f>
        <v>61520.160000000003</v>
      </c>
      <c r="J13" s="33">
        <f t="shared" ref="J13:J20" si="3">TRUNC(F13*H13,2)</f>
        <v>75104.56</v>
      </c>
      <c r="K13" s="34">
        <f t="shared" si="0"/>
        <v>4.1104264256329223E-2</v>
      </c>
      <c r="L13" s="50"/>
      <c r="M13" s="299"/>
    </row>
    <row r="14" spans="1:14" s="15" customFormat="1" ht="20.100000000000001" customHeight="1">
      <c r="A14" s="28" t="s">
        <v>16</v>
      </c>
      <c r="B14" s="28" t="s">
        <v>161</v>
      </c>
      <c r="C14" s="298">
        <v>4011351</v>
      </c>
      <c r="D14" s="29" t="s">
        <v>131</v>
      </c>
      <c r="E14" s="30" t="s">
        <v>25</v>
      </c>
      <c r="F14" s="31">
        <f>F12</f>
        <v>39035.637000000002</v>
      </c>
      <c r="G14" s="32">
        <v>0.23</v>
      </c>
      <c r="H14" s="32">
        <f t="shared" si="1"/>
        <v>0.28000000000000003</v>
      </c>
      <c r="I14" s="33">
        <f t="shared" si="2"/>
        <v>8978.19</v>
      </c>
      <c r="J14" s="33">
        <f t="shared" si="3"/>
        <v>10929.97</v>
      </c>
      <c r="K14" s="34">
        <f t="shared" si="0"/>
        <v>5.9987148002139858E-3</v>
      </c>
      <c r="L14" s="50"/>
      <c r="M14" s="299"/>
    </row>
    <row r="15" spans="1:14" s="15" customFormat="1" ht="20.100000000000001" customHeight="1">
      <c r="A15" s="28" t="s">
        <v>17</v>
      </c>
      <c r="B15" s="28" t="s">
        <v>161</v>
      </c>
      <c r="C15" s="298">
        <v>4011384</v>
      </c>
      <c r="D15" s="29" t="s">
        <v>163</v>
      </c>
      <c r="E15" s="30" t="s">
        <v>25</v>
      </c>
      <c r="F15" s="31">
        <f>F14</f>
        <v>39035.637000000002</v>
      </c>
      <c r="G15" s="32">
        <v>3.97</v>
      </c>
      <c r="H15" s="32">
        <f t="shared" si="1"/>
        <v>4.84</v>
      </c>
      <c r="I15" s="33">
        <f t="shared" si="2"/>
        <v>154971.47</v>
      </c>
      <c r="J15" s="33">
        <f t="shared" si="3"/>
        <v>188932.48000000001</v>
      </c>
      <c r="K15" s="34">
        <f t="shared" si="0"/>
        <v>0.10354310286370835</v>
      </c>
      <c r="L15" s="50"/>
      <c r="M15" s="299"/>
    </row>
    <row r="16" spans="1:14" s="15" customFormat="1" ht="20.100000000000001" customHeight="1">
      <c r="A16" s="28" t="s">
        <v>19</v>
      </c>
      <c r="B16" s="28" t="s">
        <v>126</v>
      </c>
      <c r="C16" s="215">
        <v>43282</v>
      </c>
      <c r="D16" s="29" t="s">
        <v>51</v>
      </c>
      <c r="E16" s="30" t="s">
        <v>132</v>
      </c>
      <c r="F16" s="31">
        <f>F14*0.0012</f>
        <v>46.8427644</v>
      </c>
      <c r="G16" s="32">
        <v>3732.52</v>
      </c>
      <c r="H16" s="32">
        <f>TRUNC(G16+(G16*$G$7),2)</f>
        <v>4292.3900000000003</v>
      </c>
      <c r="I16" s="33">
        <f t="shared" si="2"/>
        <v>174841.55</v>
      </c>
      <c r="J16" s="33">
        <f t="shared" si="3"/>
        <v>201067.41</v>
      </c>
      <c r="K16" s="34">
        <f t="shared" si="0"/>
        <v>0.11681915772303253</v>
      </c>
      <c r="L16" s="50"/>
      <c r="M16" s="299"/>
    </row>
    <row r="17" spans="1:13" s="15" customFormat="1" ht="20.100000000000001" customHeight="1">
      <c r="A17" s="28" t="s">
        <v>20</v>
      </c>
      <c r="B17" s="28" t="s">
        <v>126</v>
      </c>
      <c r="C17" s="215">
        <v>43283</v>
      </c>
      <c r="D17" s="29" t="s">
        <v>52</v>
      </c>
      <c r="E17" s="30" t="s">
        <v>132</v>
      </c>
      <c r="F17" s="31">
        <f>F15*0.0025</f>
        <v>97.589092500000007</v>
      </c>
      <c r="G17" s="32">
        <v>1860.35</v>
      </c>
      <c r="H17" s="32">
        <f>TRUNC(G17+(G17*$G$7),2)</f>
        <v>2139.4</v>
      </c>
      <c r="I17" s="33">
        <f t="shared" si="2"/>
        <v>181549.86</v>
      </c>
      <c r="J17" s="33">
        <f t="shared" si="3"/>
        <v>208782.1</v>
      </c>
      <c r="K17" s="34">
        <f t="shared" si="0"/>
        <v>0.12130126809064821</v>
      </c>
      <c r="L17" s="50"/>
      <c r="M17" s="299"/>
    </row>
    <row r="18" spans="1:13" s="15" customFormat="1" ht="20.100000000000001" customHeight="1">
      <c r="A18" s="28" t="s">
        <v>21</v>
      </c>
      <c r="B18" s="28" t="s">
        <v>161</v>
      </c>
      <c r="C18" s="28" t="s">
        <v>305</v>
      </c>
      <c r="D18" s="29" t="s">
        <v>55</v>
      </c>
      <c r="E18" s="30" t="s">
        <v>132</v>
      </c>
      <c r="F18" s="31">
        <f>F16</f>
        <v>46.8427644</v>
      </c>
      <c r="G18" s="32">
        <f>'TRANSPORTE MATERIAL BETUMINOSO'!D34</f>
        <v>83.86</v>
      </c>
      <c r="H18" s="32">
        <f t="shared" si="1"/>
        <v>102.38</v>
      </c>
      <c r="I18" s="33">
        <f t="shared" si="2"/>
        <v>3928.23</v>
      </c>
      <c r="J18" s="33">
        <f t="shared" si="3"/>
        <v>4795.76</v>
      </c>
      <c r="K18" s="34">
        <f t="shared" si="0"/>
        <v>2.6246193764717148E-3</v>
      </c>
      <c r="L18" s="50"/>
      <c r="M18" s="299"/>
    </row>
    <row r="19" spans="1:13" s="15" customFormat="1" ht="20.100000000000001" customHeight="1">
      <c r="A19" s="28" t="s">
        <v>22</v>
      </c>
      <c r="B19" s="28" t="s">
        <v>161</v>
      </c>
      <c r="C19" s="28" t="s">
        <v>305</v>
      </c>
      <c r="D19" s="29" t="s">
        <v>56</v>
      </c>
      <c r="E19" s="30" t="s">
        <v>132</v>
      </c>
      <c r="F19" s="31">
        <f>F17</f>
        <v>97.589092500000007</v>
      </c>
      <c r="G19" s="32">
        <f>'TRANSPORTE MATERIAL BETUMINOSO'!D34</f>
        <v>83.86</v>
      </c>
      <c r="H19" s="32">
        <f t="shared" si="1"/>
        <v>102.38</v>
      </c>
      <c r="I19" s="33">
        <f t="shared" si="2"/>
        <v>8183.82</v>
      </c>
      <c r="J19" s="33">
        <f t="shared" si="3"/>
        <v>9991.17</v>
      </c>
      <c r="K19" s="34">
        <f t="shared" si="0"/>
        <v>5.4679620453885712E-3</v>
      </c>
      <c r="L19" s="50"/>
      <c r="M19" s="299"/>
    </row>
    <row r="20" spans="1:13" s="15" customFormat="1" ht="20.100000000000001" customHeight="1">
      <c r="A20" s="28" t="s">
        <v>125</v>
      </c>
      <c r="B20" s="28" t="s">
        <v>161</v>
      </c>
      <c r="C20" s="298">
        <v>5914389</v>
      </c>
      <c r="D20" s="29" t="s">
        <v>323</v>
      </c>
      <c r="E20" s="30" t="s">
        <v>133</v>
      </c>
      <c r="F20" s="31">
        <f>F15*0.0395*160</f>
        <v>246705.22584000003</v>
      </c>
      <c r="G20" s="32">
        <v>0.46</v>
      </c>
      <c r="H20" s="32">
        <f t="shared" si="1"/>
        <v>0.56000000000000005</v>
      </c>
      <c r="I20" s="33">
        <f t="shared" si="2"/>
        <v>113484.4</v>
      </c>
      <c r="J20" s="33">
        <f t="shared" si="3"/>
        <v>138154.92000000001</v>
      </c>
      <c r="K20" s="34">
        <f t="shared" si="0"/>
        <v>7.5823807457115963E-2</v>
      </c>
      <c r="L20" s="50"/>
      <c r="M20" s="299"/>
    </row>
    <row r="21" spans="1:13" s="15" customFormat="1" ht="20.100000000000001" customHeight="1">
      <c r="A21" s="301"/>
      <c r="B21" s="301"/>
      <c r="C21" s="302"/>
      <c r="D21" s="303"/>
      <c r="E21" s="304"/>
      <c r="F21" s="305"/>
      <c r="G21" s="306"/>
      <c r="H21" s="306"/>
      <c r="I21" s="307"/>
      <c r="J21" s="307"/>
      <c r="K21" s="308"/>
      <c r="L21" s="50"/>
      <c r="M21" s="299"/>
    </row>
    <row r="22" spans="1:13" s="15" customFormat="1" ht="20.100000000000001" customHeight="1">
      <c r="A22" s="336">
        <v>2</v>
      </c>
      <c r="B22" s="22"/>
      <c r="C22" s="22"/>
      <c r="D22" s="22" t="s">
        <v>199</v>
      </c>
      <c r="E22" s="23"/>
      <c r="F22" s="24"/>
      <c r="G22" s="24"/>
      <c r="H22" s="24"/>
      <c r="I22" s="25">
        <f>I23+I27+I36+I47</f>
        <v>760341.53999999992</v>
      </c>
      <c r="J22" s="25">
        <f>J23+J27+J36+J47</f>
        <v>927290.84</v>
      </c>
      <c r="K22" s="26">
        <f>I22/I58</f>
        <v>0.50801687747925739</v>
      </c>
      <c r="L22" s="50"/>
      <c r="M22" s="299"/>
    </row>
    <row r="23" spans="1:13" s="15" customFormat="1" ht="20.100000000000001" customHeight="1">
      <c r="A23" s="343" t="s">
        <v>165</v>
      </c>
      <c r="B23" s="301"/>
      <c r="C23" s="302"/>
      <c r="D23" s="342" t="s">
        <v>200</v>
      </c>
      <c r="E23" s="304"/>
      <c r="F23" s="305"/>
      <c r="G23" s="306"/>
      <c r="H23" s="306"/>
      <c r="I23" s="376">
        <f>SUM(I24:I25)</f>
        <v>428972.98</v>
      </c>
      <c r="J23" s="376">
        <f>SUM(J24:J25)</f>
        <v>523683.75</v>
      </c>
      <c r="K23" s="34"/>
      <c r="L23" s="50"/>
      <c r="M23" s="299"/>
    </row>
    <row r="24" spans="1:13" s="15" customFormat="1" ht="38.25">
      <c r="A24" s="301" t="s">
        <v>201</v>
      </c>
      <c r="B24" s="301" t="s">
        <v>164</v>
      </c>
      <c r="C24" s="302">
        <v>94273</v>
      </c>
      <c r="D24" s="309" t="s">
        <v>166</v>
      </c>
      <c r="E24" s="304" t="s">
        <v>167</v>
      </c>
      <c r="F24" s="305">
        <f>5178+5978-875.38-875.38</f>
        <v>9405.2400000000016</v>
      </c>
      <c r="G24" s="306">
        <v>34.33</v>
      </c>
      <c r="H24" s="32">
        <f t="shared" ref="H24:H25" si="4">TRUNC(G24+(G24*$G$6),2)</f>
        <v>41.91</v>
      </c>
      <c r="I24" s="33">
        <f t="shared" ref="I24:I25" si="5">TRUNC(F24*G24,2)</f>
        <v>322881.88</v>
      </c>
      <c r="J24" s="33">
        <f t="shared" ref="J24:J25" si="6">TRUNC(F24*H24,2)</f>
        <v>394173.6</v>
      </c>
      <c r="K24" s="34">
        <f>I24/$I$58</f>
        <v>0.21573126791445893</v>
      </c>
      <c r="L24" s="50"/>
      <c r="M24" s="299"/>
    </row>
    <row r="25" spans="1:13" s="15" customFormat="1" ht="20.100000000000001" customHeight="1">
      <c r="A25" s="301" t="s">
        <v>202</v>
      </c>
      <c r="B25" s="301" t="s">
        <v>194</v>
      </c>
      <c r="C25" s="334" t="s">
        <v>196</v>
      </c>
      <c r="D25" s="303" t="str">
        <f>COMPOSIÇÕES!D5</f>
        <v>Execução de sarjeta de concreto usinado, moldada  in loco  em trecho reto, 30 cm base x 5 cm altura. af_06/2016</v>
      </c>
      <c r="E25" s="304" t="s">
        <v>167</v>
      </c>
      <c r="F25" s="305">
        <f>F24</f>
        <v>9405.2400000000016</v>
      </c>
      <c r="G25" s="306">
        <f>COMPOSIÇÕES!I5</f>
        <v>11.280000000000001</v>
      </c>
      <c r="H25" s="32">
        <f t="shared" si="4"/>
        <v>13.77</v>
      </c>
      <c r="I25" s="33">
        <f t="shared" si="5"/>
        <v>106091.1</v>
      </c>
      <c r="J25" s="33">
        <f t="shared" si="6"/>
        <v>129510.15</v>
      </c>
      <c r="K25" s="34">
        <f>I25/$I$58</f>
        <v>7.0884025816003227E-2</v>
      </c>
      <c r="L25" s="50"/>
      <c r="M25" s="299"/>
    </row>
    <row r="26" spans="1:13" s="15" customFormat="1" ht="20.100000000000001" customHeight="1">
      <c r="A26" s="301"/>
      <c r="B26" s="301"/>
      <c r="C26" s="334"/>
      <c r="D26" s="303"/>
      <c r="E26" s="304"/>
      <c r="F26" s="305"/>
      <c r="G26" s="306"/>
      <c r="H26" s="306"/>
      <c r="I26" s="307"/>
      <c r="J26" s="307"/>
      <c r="K26" s="308"/>
      <c r="L26" s="50"/>
      <c r="M26" s="299"/>
    </row>
    <row r="27" spans="1:13" s="15" customFormat="1" ht="20.100000000000001" customHeight="1">
      <c r="A27" s="343" t="s">
        <v>195</v>
      </c>
      <c r="B27" s="301"/>
      <c r="C27" s="344"/>
      <c r="D27" s="345" t="s">
        <v>203</v>
      </c>
      <c r="E27" s="346"/>
      <c r="F27" s="305"/>
      <c r="G27" s="306"/>
      <c r="H27" s="306"/>
      <c r="I27" s="359">
        <f>SUM(I28:I34)</f>
        <v>218215.89999999997</v>
      </c>
      <c r="J27" s="359">
        <f>SUM(J28:J34)</f>
        <v>266302.64</v>
      </c>
      <c r="K27" s="34">
        <f t="shared" ref="K27:K34" si="7">I27/$I$58</f>
        <v>0.14579942605046395</v>
      </c>
      <c r="L27" s="50"/>
      <c r="M27" s="299"/>
    </row>
    <row r="28" spans="1:13" s="15" customFormat="1" ht="20.100000000000001" customHeight="1">
      <c r="A28" s="301" t="s">
        <v>237</v>
      </c>
      <c r="B28" s="301" t="s">
        <v>161</v>
      </c>
      <c r="C28" s="347">
        <v>4805757</v>
      </c>
      <c r="D28" s="348" t="s">
        <v>204</v>
      </c>
      <c r="E28" s="30" t="s">
        <v>205</v>
      </c>
      <c r="F28" s="305">
        <f>ESCAVAÇÃO!G7</f>
        <v>7068.1</v>
      </c>
      <c r="G28" s="306">
        <v>5.93</v>
      </c>
      <c r="H28" s="32">
        <f t="shared" ref="H28:H34" si="8">TRUNC(G28+(G28*$G$6),2)</f>
        <v>7.23</v>
      </c>
      <c r="I28" s="33">
        <f t="shared" ref="I28:I34" si="9">TRUNC(F28*G28,2)</f>
        <v>41913.83</v>
      </c>
      <c r="J28" s="33">
        <f t="shared" ref="J28:J34" si="10">TRUNC(F28*H28,2)</f>
        <v>51102.36</v>
      </c>
      <c r="K28" s="34">
        <f t="shared" si="7"/>
        <v>2.8004432113226937E-2</v>
      </c>
      <c r="L28" s="50"/>
      <c r="M28" s="299"/>
    </row>
    <row r="29" spans="1:13" s="15" customFormat="1" ht="20.100000000000001" customHeight="1">
      <c r="A29" s="301" t="s">
        <v>238</v>
      </c>
      <c r="B29" s="301" t="s">
        <v>161</v>
      </c>
      <c r="C29" s="347">
        <v>4915671</v>
      </c>
      <c r="D29" s="29" t="s">
        <v>206</v>
      </c>
      <c r="E29" s="30" t="s">
        <v>205</v>
      </c>
      <c r="F29" s="305">
        <f>ESCAVAÇÃO!H7</f>
        <v>5537.7</v>
      </c>
      <c r="G29" s="306">
        <v>12.7</v>
      </c>
      <c r="H29" s="32">
        <f t="shared" si="8"/>
        <v>15.5</v>
      </c>
      <c r="I29" s="33">
        <f t="shared" si="9"/>
        <v>70328.789999999994</v>
      </c>
      <c r="J29" s="33">
        <f t="shared" si="10"/>
        <v>85834.35</v>
      </c>
      <c r="K29" s="34">
        <f t="shared" si="7"/>
        <v>4.6989688729481255E-2</v>
      </c>
      <c r="L29" s="50"/>
      <c r="M29" s="299"/>
    </row>
    <row r="30" spans="1:13" s="15" customFormat="1" ht="20.100000000000001" customHeight="1">
      <c r="A30" s="301" t="s">
        <v>239</v>
      </c>
      <c r="B30" s="301" t="s">
        <v>161</v>
      </c>
      <c r="C30" s="347" t="s">
        <v>207</v>
      </c>
      <c r="D30" s="29" t="s">
        <v>208</v>
      </c>
      <c r="E30" s="30" t="s">
        <v>167</v>
      </c>
      <c r="F30" s="305">
        <v>144</v>
      </c>
      <c r="G30" s="306">
        <f>123.56-98.64</f>
        <v>24.92</v>
      </c>
      <c r="H30" s="32">
        <f t="shared" si="8"/>
        <v>30.42</v>
      </c>
      <c r="I30" s="33">
        <f t="shared" si="9"/>
        <v>3588.48</v>
      </c>
      <c r="J30" s="33">
        <f t="shared" si="10"/>
        <v>4380.4799999999996</v>
      </c>
      <c r="K30" s="34">
        <f t="shared" si="7"/>
        <v>2.397617792257892E-3</v>
      </c>
      <c r="L30" s="50"/>
      <c r="M30" s="299"/>
    </row>
    <row r="31" spans="1:13" s="15" customFormat="1" ht="20.100000000000001" customHeight="1">
      <c r="A31" s="301" t="s">
        <v>240</v>
      </c>
      <c r="B31" s="301" t="s">
        <v>161</v>
      </c>
      <c r="C31" s="347" t="s">
        <v>209</v>
      </c>
      <c r="D31" s="29" t="s">
        <v>210</v>
      </c>
      <c r="E31" s="30" t="s">
        <v>167</v>
      </c>
      <c r="F31" s="305">
        <v>712.5</v>
      </c>
      <c r="G31" s="306">
        <f>156.08-125.98</f>
        <v>30.100000000000009</v>
      </c>
      <c r="H31" s="32">
        <f t="shared" si="8"/>
        <v>36.74</v>
      </c>
      <c r="I31" s="33">
        <f t="shared" si="9"/>
        <v>21446.25</v>
      </c>
      <c r="J31" s="33">
        <f t="shared" si="10"/>
        <v>26177.25</v>
      </c>
      <c r="K31" s="34">
        <f t="shared" si="7"/>
        <v>1.4329161811466363E-2</v>
      </c>
      <c r="L31" s="50"/>
      <c r="M31" s="299"/>
    </row>
    <row r="32" spans="1:13" s="15" customFormat="1" ht="20.100000000000001" customHeight="1">
      <c r="A32" s="301" t="s">
        <v>241</v>
      </c>
      <c r="B32" s="301" t="s">
        <v>161</v>
      </c>
      <c r="C32" s="347" t="s">
        <v>211</v>
      </c>
      <c r="D32" s="29" t="s">
        <v>212</v>
      </c>
      <c r="E32" s="30" t="s">
        <v>167</v>
      </c>
      <c r="F32" s="305">
        <v>675</v>
      </c>
      <c r="G32" s="306">
        <f>253.22-213.01</f>
        <v>40.210000000000008</v>
      </c>
      <c r="H32" s="32">
        <f t="shared" si="8"/>
        <v>49.09</v>
      </c>
      <c r="I32" s="33">
        <f t="shared" si="9"/>
        <v>27141.75</v>
      </c>
      <c r="J32" s="33">
        <f t="shared" si="10"/>
        <v>33135.75</v>
      </c>
      <c r="K32" s="34">
        <f t="shared" si="7"/>
        <v>1.8134570267359894E-2</v>
      </c>
      <c r="L32" s="50"/>
      <c r="M32" s="299"/>
    </row>
    <row r="33" spans="1:13" s="15" customFormat="1" ht="20.100000000000001" customHeight="1">
      <c r="A33" s="301" t="s">
        <v>242</v>
      </c>
      <c r="B33" s="301" t="s">
        <v>161</v>
      </c>
      <c r="C33" s="347" t="s">
        <v>213</v>
      </c>
      <c r="D33" s="29" t="s">
        <v>214</v>
      </c>
      <c r="E33" s="30" t="s">
        <v>167</v>
      </c>
      <c r="F33" s="305">
        <v>145</v>
      </c>
      <c r="G33" s="306">
        <f>357.02-306.78</f>
        <v>50.240000000000009</v>
      </c>
      <c r="H33" s="32">
        <f t="shared" si="8"/>
        <v>61.33</v>
      </c>
      <c r="I33" s="33">
        <f t="shared" si="9"/>
        <v>7284.8</v>
      </c>
      <c r="J33" s="33">
        <f t="shared" si="10"/>
        <v>8892.85</v>
      </c>
      <c r="K33" s="34">
        <f t="shared" si="7"/>
        <v>4.8672881256243009E-3</v>
      </c>
      <c r="L33" s="50"/>
      <c r="M33" s="299"/>
    </row>
    <row r="34" spans="1:13" s="15" customFormat="1" ht="20.100000000000001" customHeight="1">
      <c r="A34" s="301" t="s">
        <v>243</v>
      </c>
      <c r="B34" s="301" t="s">
        <v>161</v>
      </c>
      <c r="C34" s="347" t="s">
        <v>215</v>
      </c>
      <c r="D34" s="29" t="s">
        <v>216</v>
      </c>
      <c r="E34" s="30" t="s">
        <v>167</v>
      </c>
      <c r="F34" s="305">
        <v>760</v>
      </c>
      <c r="G34" s="306">
        <f>420.44-359.24</f>
        <v>61.199999999999989</v>
      </c>
      <c r="H34" s="32">
        <f t="shared" si="8"/>
        <v>74.709999999999994</v>
      </c>
      <c r="I34" s="33">
        <f t="shared" si="9"/>
        <v>46512</v>
      </c>
      <c r="J34" s="33">
        <f t="shared" si="10"/>
        <v>56779.6</v>
      </c>
      <c r="K34" s="34">
        <f t="shared" si="7"/>
        <v>3.1076667211047314E-2</v>
      </c>
      <c r="L34" s="50"/>
      <c r="M34" s="299"/>
    </row>
    <row r="35" spans="1:13" s="15" customFormat="1" ht="20.100000000000001" customHeight="1">
      <c r="A35" s="301"/>
      <c r="B35" s="301"/>
      <c r="C35" s="334"/>
      <c r="D35" s="303"/>
      <c r="E35" s="304"/>
      <c r="F35" s="305"/>
      <c r="G35" s="306"/>
      <c r="H35" s="306"/>
      <c r="I35" s="307"/>
      <c r="J35" s="307"/>
      <c r="K35" s="308"/>
      <c r="L35" s="50"/>
      <c r="M35" s="299"/>
    </row>
    <row r="36" spans="1:13" s="27" customFormat="1" ht="20.100000000000001" customHeight="1">
      <c r="A36" s="343" t="s">
        <v>244</v>
      </c>
      <c r="B36" s="343"/>
      <c r="C36" s="354"/>
      <c r="D36" s="355" t="s">
        <v>217</v>
      </c>
      <c r="E36" s="356"/>
      <c r="F36" s="357"/>
      <c r="G36" s="358"/>
      <c r="H36" s="358"/>
      <c r="I36" s="359">
        <f>SUM(I37:I45)</f>
        <v>93471.540000000008</v>
      </c>
      <c r="J36" s="359">
        <f>SUM(J37:J45)</f>
        <v>114118.95999999999</v>
      </c>
      <c r="K36" s="34">
        <f t="shared" ref="K36:K45" si="11">I36/$I$58</f>
        <v>6.245235514026698E-2</v>
      </c>
      <c r="L36" s="52"/>
      <c r="M36" s="360"/>
    </row>
    <row r="37" spans="1:13" s="15" customFormat="1" ht="20.100000000000001" customHeight="1">
      <c r="A37" s="301" t="s">
        <v>245</v>
      </c>
      <c r="B37" s="301" t="s">
        <v>161</v>
      </c>
      <c r="C37" s="334" t="s">
        <v>218</v>
      </c>
      <c r="D37" s="303" t="s">
        <v>219</v>
      </c>
      <c r="E37" s="304" t="s">
        <v>220</v>
      </c>
      <c r="F37" s="305">
        <v>34</v>
      </c>
      <c r="G37" s="306">
        <v>1656.49</v>
      </c>
      <c r="H37" s="32">
        <f t="shared" ref="H37:H45" si="12">TRUNC(G37+(G37*$G$6),2)</f>
        <v>2022.4</v>
      </c>
      <c r="I37" s="33">
        <f t="shared" ref="I37:I45" si="13">TRUNC(F37*G37,2)</f>
        <v>56320.66</v>
      </c>
      <c r="J37" s="33">
        <f t="shared" ref="J37:J45" si="14">TRUNC(F37*H37,2)</f>
        <v>68761.600000000006</v>
      </c>
      <c r="K37" s="34">
        <f t="shared" si="11"/>
        <v>3.763025472838287E-2</v>
      </c>
      <c r="L37" s="50"/>
      <c r="M37" s="299"/>
    </row>
    <row r="38" spans="1:13" s="15" customFormat="1" ht="20.100000000000001" customHeight="1">
      <c r="A38" s="301" t="s">
        <v>246</v>
      </c>
      <c r="B38" s="301" t="s">
        <v>161</v>
      </c>
      <c r="C38" s="334" t="s">
        <v>282</v>
      </c>
      <c r="D38" s="303" t="s">
        <v>281</v>
      </c>
      <c r="E38" s="304" t="s">
        <v>220</v>
      </c>
      <c r="F38" s="305">
        <v>3</v>
      </c>
      <c r="G38" s="306">
        <v>1127.43</v>
      </c>
      <c r="H38" s="32">
        <f t="shared" si="12"/>
        <v>1376.47</v>
      </c>
      <c r="I38" s="33">
        <f t="shared" si="13"/>
        <v>3382.29</v>
      </c>
      <c r="J38" s="33">
        <f t="shared" si="14"/>
        <v>4129.41</v>
      </c>
      <c r="K38" s="34">
        <f t="shared" si="11"/>
        <v>2.2598533871098473E-3</v>
      </c>
      <c r="L38" s="50"/>
      <c r="M38" s="299"/>
    </row>
    <row r="39" spans="1:13" s="15" customFormat="1" ht="20.100000000000001" customHeight="1">
      <c r="A39" s="301" t="s">
        <v>247</v>
      </c>
      <c r="B39" s="301" t="s">
        <v>161</v>
      </c>
      <c r="C39" s="334" t="s">
        <v>223</v>
      </c>
      <c r="D39" s="303" t="s">
        <v>224</v>
      </c>
      <c r="E39" s="304" t="s">
        <v>220</v>
      </c>
      <c r="F39" s="305">
        <v>4</v>
      </c>
      <c r="G39" s="306">
        <v>1524.35</v>
      </c>
      <c r="H39" s="32">
        <f t="shared" si="12"/>
        <v>1861.07</v>
      </c>
      <c r="I39" s="33">
        <f t="shared" si="13"/>
        <v>6097.4</v>
      </c>
      <c r="J39" s="33">
        <f t="shared" si="14"/>
        <v>7444.28</v>
      </c>
      <c r="K39" s="34">
        <f t="shared" si="11"/>
        <v>4.0739351275507372E-3</v>
      </c>
      <c r="L39" s="50"/>
      <c r="M39" s="299"/>
    </row>
    <row r="40" spans="1:13" s="15" customFormat="1" ht="20.100000000000001" customHeight="1">
      <c r="A40" s="301" t="s">
        <v>248</v>
      </c>
      <c r="B40" s="301" t="s">
        <v>161</v>
      </c>
      <c r="C40" s="334" t="s">
        <v>225</v>
      </c>
      <c r="D40" s="303" t="s">
        <v>226</v>
      </c>
      <c r="E40" s="304" t="s">
        <v>220</v>
      </c>
      <c r="F40" s="305">
        <v>1</v>
      </c>
      <c r="G40" s="306">
        <v>1988.11</v>
      </c>
      <c r="H40" s="32">
        <f t="shared" si="12"/>
        <v>2427.2800000000002</v>
      </c>
      <c r="I40" s="33">
        <f t="shared" si="13"/>
        <v>1988.11</v>
      </c>
      <c r="J40" s="33">
        <f t="shared" si="14"/>
        <v>2427.2800000000002</v>
      </c>
      <c r="K40" s="34">
        <f t="shared" si="11"/>
        <v>1.3283417795183021E-3</v>
      </c>
      <c r="L40" s="50"/>
      <c r="M40" s="299"/>
    </row>
    <row r="41" spans="1:13" s="15" customFormat="1" ht="20.100000000000001" customHeight="1">
      <c r="A41" s="301" t="s">
        <v>250</v>
      </c>
      <c r="B41" s="301" t="s">
        <v>161</v>
      </c>
      <c r="C41" s="334" t="s">
        <v>300</v>
      </c>
      <c r="D41" s="303" t="s">
        <v>228</v>
      </c>
      <c r="E41" s="304" t="s">
        <v>220</v>
      </c>
      <c r="F41" s="305">
        <v>4</v>
      </c>
      <c r="G41" s="306">
        <v>1505.86</v>
      </c>
      <c r="H41" s="32">
        <f t="shared" si="12"/>
        <v>1838.5</v>
      </c>
      <c r="I41" s="33">
        <f t="shared" si="13"/>
        <v>6023.44</v>
      </c>
      <c r="J41" s="33">
        <f t="shared" si="14"/>
        <v>7354</v>
      </c>
      <c r="K41" s="34">
        <f t="shared" si="11"/>
        <v>4.0245192712786123E-3</v>
      </c>
      <c r="L41" s="50"/>
      <c r="M41" s="299"/>
    </row>
    <row r="42" spans="1:13" s="15" customFormat="1" ht="20.100000000000001" customHeight="1">
      <c r="A42" s="301" t="s">
        <v>251</v>
      </c>
      <c r="B42" s="301" t="s">
        <v>161</v>
      </c>
      <c r="C42" s="334" t="s">
        <v>229</v>
      </c>
      <c r="D42" s="303" t="s">
        <v>230</v>
      </c>
      <c r="E42" s="304" t="s">
        <v>220</v>
      </c>
      <c r="F42" s="305">
        <v>3</v>
      </c>
      <c r="G42" s="306">
        <v>1729.92</v>
      </c>
      <c r="H42" s="32">
        <f t="shared" si="12"/>
        <v>2112.0500000000002</v>
      </c>
      <c r="I42" s="33">
        <f t="shared" si="13"/>
        <v>5189.76</v>
      </c>
      <c r="J42" s="33">
        <f t="shared" si="14"/>
        <v>6336.15</v>
      </c>
      <c r="K42" s="34">
        <f t="shared" si="11"/>
        <v>3.4675018151273849E-3</v>
      </c>
      <c r="L42" s="50"/>
      <c r="M42" s="299"/>
    </row>
    <row r="43" spans="1:13" s="15" customFormat="1" ht="20.100000000000001" customHeight="1">
      <c r="A43" s="301" t="s">
        <v>252</v>
      </c>
      <c r="B43" s="301" t="s">
        <v>161</v>
      </c>
      <c r="C43" s="334" t="s">
        <v>231</v>
      </c>
      <c r="D43" s="303" t="s">
        <v>232</v>
      </c>
      <c r="E43" s="304" t="s">
        <v>220</v>
      </c>
      <c r="F43" s="305">
        <v>1</v>
      </c>
      <c r="G43" s="306">
        <v>2068.86</v>
      </c>
      <c r="H43" s="32">
        <f t="shared" si="12"/>
        <v>2525.87</v>
      </c>
      <c r="I43" s="33">
        <f t="shared" si="13"/>
        <v>2068.86</v>
      </c>
      <c r="J43" s="33">
        <f t="shared" si="14"/>
        <v>2525.87</v>
      </c>
      <c r="K43" s="34">
        <f t="shared" si="11"/>
        <v>1.382294326759704E-3</v>
      </c>
      <c r="L43" s="50"/>
      <c r="M43" s="299"/>
    </row>
    <row r="44" spans="1:13" s="15" customFormat="1" ht="20.100000000000001" customHeight="1">
      <c r="A44" s="301" t="s">
        <v>253</v>
      </c>
      <c r="B44" s="301" t="s">
        <v>161</v>
      </c>
      <c r="C44" s="334" t="s">
        <v>233</v>
      </c>
      <c r="D44" s="303" t="s">
        <v>234</v>
      </c>
      <c r="E44" s="304" t="s">
        <v>220</v>
      </c>
      <c r="F44" s="305">
        <v>4</v>
      </c>
      <c r="G44" s="306">
        <v>2442.9499999999998</v>
      </c>
      <c r="H44" s="32">
        <f t="shared" si="12"/>
        <v>2982.59</v>
      </c>
      <c r="I44" s="33">
        <f t="shared" si="13"/>
        <v>9771.7999999999993</v>
      </c>
      <c r="J44" s="33">
        <f t="shared" si="14"/>
        <v>11930.36</v>
      </c>
      <c r="K44" s="34">
        <f t="shared" si="11"/>
        <v>6.5289597663594802E-3</v>
      </c>
      <c r="L44" s="50"/>
      <c r="M44" s="299"/>
    </row>
    <row r="45" spans="1:13" s="15" customFormat="1" ht="20.100000000000001" customHeight="1">
      <c r="A45" s="301" t="s">
        <v>283</v>
      </c>
      <c r="B45" s="301" t="s">
        <v>161</v>
      </c>
      <c r="C45" s="334" t="s">
        <v>285</v>
      </c>
      <c r="D45" s="303" t="s">
        <v>284</v>
      </c>
      <c r="E45" s="304" t="s">
        <v>220</v>
      </c>
      <c r="F45" s="305">
        <v>1</v>
      </c>
      <c r="G45" s="306">
        <v>2629.22</v>
      </c>
      <c r="H45" s="32">
        <f t="shared" si="12"/>
        <v>3210.01</v>
      </c>
      <c r="I45" s="33">
        <f t="shared" si="13"/>
        <v>2629.22</v>
      </c>
      <c r="J45" s="33">
        <f t="shared" si="14"/>
        <v>3210.01</v>
      </c>
      <c r="K45" s="34">
        <f t="shared" si="11"/>
        <v>1.7566949381800357E-3</v>
      </c>
      <c r="L45" s="50"/>
      <c r="M45" s="299"/>
    </row>
    <row r="46" spans="1:13" s="15" customFormat="1" ht="20.100000000000001" customHeight="1">
      <c r="A46" s="28"/>
      <c r="B46" s="28"/>
      <c r="C46" s="347"/>
      <c r="D46" s="29"/>
      <c r="E46" s="30"/>
      <c r="F46" s="31"/>
      <c r="G46" s="32"/>
      <c r="H46" s="32"/>
      <c r="I46" s="33"/>
      <c r="J46" s="307"/>
      <c r="K46" s="308"/>
      <c r="L46" s="50"/>
      <c r="M46" s="299"/>
    </row>
    <row r="47" spans="1:13" s="27" customFormat="1" ht="20.100000000000001" customHeight="1">
      <c r="A47" s="372" t="s">
        <v>266</v>
      </c>
      <c r="B47" s="372"/>
      <c r="C47" s="373"/>
      <c r="D47" s="345" t="s">
        <v>286</v>
      </c>
      <c r="E47" s="346"/>
      <c r="F47" s="374"/>
      <c r="G47" s="375"/>
      <c r="H47" s="375"/>
      <c r="I47" s="376">
        <f>SUM(I48:I55)</f>
        <v>19681.12</v>
      </c>
      <c r="J47" s="376">
        <f>SUM(J48:J55)</f>
        <v>23185.489999999998</v>
      </c>
      <c r="K47" s="34">
        <f t="shared" ref="K47:K55" si="15">I47/$I$58</f>
        <v>1.3149802558064317E-2</v>
      </c>
      <c r="L47" s="52"/>
      <c r="M47" s="360"/>
    </row>
    <row r="48" spans="1:13" s="15" customFormat="1" ht="20.100000000000001" customHeight="1">
      <c r="A48" s="28" t="s">
        <v>267</v>
      </c>
      <c r="B48" s="301" t="s">
        <v>161</v>
      </c>
      <c r="C48" s="347" t="s">
        <v>254</v>
      </c>
      <c r="D48" s="348" t="s">
        <v>131</v>
      </c>
      <c r="E48" s="30" t="s">
        <v>25</v>
      </c>
      <c r="F48" s="31">
        <f>ESCAVAÇÃO!J6</f>
        <v>1216</v>
      </c>
      <c r="G48" s="363">
        <v>0.23</v>
      </c>
      <c r="H48" s="32">
        <f t="shared" ref="H48:H55" si="16">TRUNC(G48+(G48*$G$6),2)</f>
        <v>0.28000000000000003</v>
      </c>
      <c r="I48" s="33">
        <f t="shared" ref="I48:I55" si="17">TRUNC(F48*G48,2)</f>
        <v>279.68</v>
      </c>
      <c r="J48" s="33">
        <f t="shared" ref="J48:J55" si="18">TRUNC(F48*H48,2)</f>
        <v>340.48</v>
      </c>
      <c r="K48" s="34">
        <f t="shared" si="15"/>
        <v>1.8686623421021914E-4</v>
      </c>
      <c r="L48" s="50"/>
      <c r="M48" s="299"/>
    </row>
    <row r="49" spans="1:14" s="15" customFormat="1" ht="20.100000000000001" customHeight="1">
      <c r="A49" s="28" t="s">
        <v>268</v>
      </c>
      <c r="B49" s="301" t="s">
        <v>161</v>
      </c>
      <c r="C49" s="347" t="s">
        <v>255</v>
      </c>
      <c r="D49" s="348" t="s">
        <v>256</v>
      </c>
      <c r="E49" s="30" t="s">
        <v>25</v>
      </c>
      <c r="F49" s="31">
        <f>F48</f>
        <v>1216</v>
      </c>
      <c r="G49" s="363">
        <v>3.48</v>
      </c>
      <c r="H49" s="32">
        <f t="shared" si="16"/>
        <v>4.24</v>
      </c>
      <c r="I49" s="33">
        <f t="shared" si="17"/>
        <v>4231.68</v>
      </c>
      <c r="J49" s="33">
        <f t="shared" si="18"/>
        <v>5155.84</v>
      </c>
      <c r="K49" s="34">
        <f t="shared" si="15"/>
        <v>2.827367369789403E-3</v>
      </c>
      <c r="L49" s="50"/>
      <c r="M49" s="299"/>
    </row>
    <row r="50" spans="1:14" s="15" customFormat="1" ht="20.100000000000001" customHeight="1">
      <c r="A50" s="28" t="s">
        <v>269</v>
      </c>
      <c r="B50" s="301" t="s">
        <v>161</v>
      </c>
      <c r="C50" s="347" t="s">
        <v>257</v>
      </c>
      <c r="D50" s="348" t="s">
        <v>258</v>
      </c>
      <c r="E50" s="30" t="s">
        <v>25</v>
      </c>
      <c r="F50" s="31">
        <f>F49</f>
        <v>1216</v>
      </c>
      <c r="G50" s="363">
        <v>0.56999999999999995</v>
      </c>
      <c r="H50" s="32">
        <f t="shared" si="16"/>
        <v>0.69</v>
      </c>
      <c r="I50" s="33">
        <f t="shared" si="17"/>
        <v>693.12</v>
      </c>
      <c r="J50" s="33">
        <f t="shared" si="18"/>
        <v>839.04</v>
      </c>
      <c r="K50" s="34">
        <f t="shared" si="15"/>
        <v>4.6310327608619527E-4</v>
      </c>
      <c r="L50" s="50"/>
      <c r="M50" s="299"/>
    </row>
    <row r="51" spans="1:14" s="15" customFormat="1" ht="20.100000000000001" customHeight="1">
      <c r="A51" s="28" t="s">
        <v>270</v>
      </c>
      <c r="B51" s="28" t="s">
        <v>290</v>
      </c>
      <c r="C51" s="402">
        <v>43282</v>
      </c>
      <c r="D51" s="348" t="s">
        <v>259</v>
      </c>
      <c r="E51" s="30" t="s">
        <v>28</v>
      </c>
      <c r="F51" s="31">
        <f>TRUNC(F48*0.0012,3)</f>
        <v>1.4590000000000001</v>
      </c>
      <c r="G51" s="363">
        <f>G16</f>
        <v>3732.52</v>
      </c>
      <c r="H51" s="32">
        <f>TRUNC(G51+(G51*$G$7),2)</f>
        <v>4292.3900000000003</v>
      </c>
      <c r="I51" s="33">
        <f t="shared" si="17"/>
        <v>5445.74</v>
      </c>
      <c r="J51" s="33">
        <f t="shared" si="18"/>
        <v>6262.59</v>
      </c>
      <c r="K51" s="34">
        <f t="shared" si="15"/>
        <v>3.6385330602401273E-3</v>
      </c>
      <c r="L51" s="50"/>
      <c r="M51" s="299"/>
    </row>
    <row r="52" spans="1:14" s="15" customFormat="1" ht="20.100000000000001" customHeight="1">
      <c r="A52" s="28" t="s">
        <v>271</v>
      </c>
      <c r="B52" s="28" t="s">
        <v>290</v>
      </c>
      <c r="C52" s="402">
        <v>43282</v>
      </c>
      <c r="D52" s="348" t="s">
        <v>260</v>
      </c>
      <c r="E52" s="30" t="s">
        <v>28</v>
      </c>
      <c r="F52" s="31">
        <f>TRUNC(F49*0.0025,3)</f>
        <v>3.04</v>
      </c>
      <c r="G52" s="363">
        <f>G17</f>
        <v>1860.35</v>
      </c>
      <c r="H52" s="32">
        <f>TRUNC(G52+(G52*$G$7),2)</f>
        <v>2139.4</v>
      </c>
      <c r="I52" s="33">
        <f t="shared" si="17"/>
        <v>5655.46</v>
      </c>
      <c r="J52" s="33">
        <f t="shared" si="18"/>
        <v>6503.77</v>
      </c>
      <c r="K52" s="34">
        <f t="shared" si="15"/>
        <v>3.7786560101777961E-3</v>
      </c>
      <c r="L52" s="50"/>
      <c r="M52" s="299"/>
    </row>
    <row r="53" spans="1:14" s="15" customFormat="1" ht="20.100000000000001" customHeight="1">
      <c r="A53" s="28" t="s">
        <v>272</v>
      </c>
      <c r="B53" s="28" t="s">
        <v>161</v>
      </c>
      <c r="C53" s="347" t="s">
        <v>305</v>
      </c>
      <c r="D53" s="348" t="s">
        <v>261</v>
      </c>
      <c r="E53" s="30" t="s">
        <v>28</v>
      </c>
      <c r="F53" s="31">
        <f>F51</f>
        <v>1.4590000000000001</v>
      </c>
      <c r="G53" s="363">
        <f>'TRANSPORTE MATERIAL BETUMINOSO'!D34</f>
        <v>83.86</v>
      </c>
      <c r="H53" s="32">
        <f>TRUNC(G53+(G53*$G$7),2)</f>
        <v>96.43</v>
      </c>
      <c r="I53" s="33">
        <f t="shared" si="17"/>
        <v>122.35</v>
      </c>
      <c r="J53" s="33">
        <f t="shared" si="18"/>
        <v>140.69</v>
      </c>
      <c r="K53" s="34">
        <f t="shared" si="15"/>
        <v>8.1747296036971943E-5</v>
      </c>
      <c r="L53" s="50"/>
      <c r="M53" s="299"/>
    </row>
    <row r="54" spans="1:14" s="15" customFormat="1" ht="20.100000000000001" customHeight="1">
      <c r="A54" s="28" t="s">
        <v>273</v>
      </c>
      <c r="B54" s="28" t="s">
        <v>161</v>
      </c>
      <c r="C54" s="347" t="s">
        <v>306</v>
      </c>
      <c r="D54" s="348" t="s">
        <v>262</v>
      </c>
      <c r="E54" s="30" t="s">
        <v>28</v>
      </c>
      <c r="F54" s="31">
        <f>F52</f>
        <v>3.04</v>
      </c>
      <c r="G54" s="363">
        <f>'TRANSPORTE MATERIAL BETUMINOSO'!D34</f>
        <v>83.86</v>
      </c>
      <c r="H54" s="32">
        <f>TRUNC(G54+(G54*$G$7),2)</f>
        <v>96.43</v>
      </c>
      <c r="I54" s="33">
        <f t="shared" si="17"/>
        <v>254.93</v>
      </c>
      <c r="J54" s="33">
        <f t="shared" si="18"/>
        <v>293.14</v>
      </c>
      <c r="K54" s="34">
        <f t="shared" si="15"/>
        <v>1.7032969496285459E-4</v>
      </c>
      <c r="L54" s="50"/>
      <c r="M54" s="299"/>
    </row>
    <row r="55" spans="1:14" s="15" customFormat="1" ht="20.100000000000001" customHeight="1">
      <c r="A55" s="28" t="s">
        <v>274</v>
      </c>
      <c r="B55" s="28" t="s">
        <v>161</v>
      </c>
      <c r="C55" s="347" t="s">
        <v>263</v>
      </c>
      <c r="D55" s="348" t="s">
        <v>264</v>
      </c>
      <c r="E55" s="30" t="s">
        <v>265</v>
      </c>
      <c r="F55" s="31">
        <f>TRUNC(F49*0.0335*160,3)</f>
        <v>6517.76</v>
      </c>
      <c r="G55" s="32">
        <v>0.46</v>
      </c>
      <c r="H55" s="32">
        <f t="shared" si="16"/>
        <v>0.56000000000000005</v>
      </c>
      <c r="I55" s="33">
        <f t="shared" si="17"/>
        <v>2998.16</v>
      </c>
      <c r="J55" s="33">
        <f t="shared" si="18"/>
        <v>3649.94</v>
      </c>
      <c r="K55" s="34">
        <f t="shared" si="15"/>
        <v>2.0031996165607502E-3</v>
      </c>
      <c r="L55" s="50"/>
      <c r="M55" s="299"/>
    </row>
    <row r="56" spans="1:14" s="15" customFormat="1" ht="20.100000000000001" customHeight="1">
      <c r="A56" s="301"/>
      <c r="B56" s="301"/>
      <c r="C56" s="334"/>
      <c r="D56" s="303"/>
      <c r="E56" s="304"/>
      <c r="F56" s="305"/>
      <c r="G56" s="306"/>
      <c r="H56" s="306"/>
      <c r="I56" s="307"/>
      <c r="J56" s="307"/>
      <c r="K56" s="308"/>
      <c r="L56" s="50"/>
      <c r="M56" s="299"/>
    </row>
    <row r="57" spans="1:14" s="15" customFormat="1" ht="20.100000000000001" customHeight="1">
      <c r="A57" s="35"/>
      <c r="B57" s="35"/>
      <c r="C57" s="35"/>
      <c r="D57" s="36"/>
      <c r="E57" s="37"/>
      <c r="F57" s="38"/>
      <c r="G57" s="39"/>
      <c r="H57" s="39"/>
      <c r="I57" s="40"/>
      <c r="J57" s="40"/>
      <c r="K57" s="41"/>
      <c r="L57" s="50"/>
      <c r="M57" s="299"/>
    </row>
    <row r="58" spans="1:14" ht="25.5" customHeight="1">
      <c r="A58" s="444" t="s">
        <v>39</v>
      </c>
      <c r="B58" s="445"/>
      <c r="C58" s="445"/>
      <c r="D58" s="445"/>
      <c r="E58" s="445"/>
      <c r="F58" s="445"/>
      <c r="G58" s="445"/>
      <c r="H58" s="445"/>
      <c r="I58" s="398">
        <f>I11+I22</f>
        <v>1496685.5899999999</v>
      </c>
      <c r="J58" s="56">
        <f>J11+J22</f>
        <v>1800181.28</v>
      </c>
      <c r="K58" s="54">
        <f>I58/I58</f>
        <v>1</v>
      </c>
      <c r="L58" s="57"/>
    </row>
    <row r="59" spans="1:14" ht="20.100000000000001" customHeight="1">
      <c r="A59" s="45" t="s">
        <v>299</v>
      </c>
      <c r="B59" s="42"/>
      <c r="C59" s="42"/>
      <c r="D59" s="43"/>
    </row>
    <row r="60" spans="1:14" ht="20.100000000000001" customHeight="1">
      <c r="A60" s="45"/>
      <c r="B60" s="46" t="s">
        <v>297</v>
      </c>
      <c r="I60" s="57"/>
      <c r="J60" s="57"/>
      <c r="K60" s="49" t="s">
        <v>324</v>
      </c>
    </row>
    <row r="61" spans="1:14" s="46" customFormat="1" ht="17.25" customHeight="1">
      <c r="B61" s="46" t="s">
        <v>298</v>
      </c>
      <c r="D61" s="47"/>
      <c r="E61" s="44"/>
      <c r="F61" s="1"/>
      <c r="G61" s="1"/>
      <c r="H61" s="1"/>
      <c r="I61" s="1"/>
      <c r="J61" s="1"/>
      <c r="K61" s="16"/>
      <c r="L61" s="1"/>
      <c r="M61" s="50"/>
      <c r="N61" s="1"/>
    </row>
    <row r="62" spans="1:14" s="46" customFormat="1" ht="20.100000000000001" customHeight="1">
      <c r="D62" s="47"/>
      <c r="E62" s="44"/>
      <c r="F62" s="1"/>
      <c r="G62" s="1"/>
      <c r="H62" s="1"/>
      <c r="I62" s="1"/>
      <c r="J62" s="1"/>
      <c r="K62" s="16"/>
      <c r="L62" s="1"/>
      <c r="M62" s="50"/>
      <c r="N62" s="1"/>
    </row>
    <row r="63" spans="1:14" s="46" customFormat="1" ht="20.100000000000001" customHeight="1">
      <c r="D63" s="47"/>
      <c r="E63" s="44"/>
      <c r="F63" s="1"/>
      <c r="G63" s="1"/>
      <c r="H63" s="1"/>
      <c r="I63" s="1"/>
      <c r="J63" s="1"/>
      <c r="K63" s="16"/>
      <c r="L63" s="1"/>
      <c r="M63" s="50"/>
      <c r="N63" s="1"/>
    </row>
    <row r="64" spans="1:14" s="46" customFormat="1" ht="20.100000000000001" customHeight="1">
      <c r="D64" s="47"/>
      <c r="E64" s="44"/>
      <c r="F64" s="1"/>
      <c r="G64" s="1"/>
      <c r="H64" s="1"/>
      <c r="I64" s="1"/>
      <c r="J64" s="1"/>
      <c r="K64" s="16"/>
      <c r="L64" s="1"/>
      <c r="M64" s="50"/>
      <c r="N64" s="1"/>
    </row>
    <row r="65" spans="4:14" s="46" customFormat="1" ht="20.100000000000001" customHeight="1">
      <c r="D65" s="47"/>
      <c r="E65" s="44"/>
      <c r="F65" s="1"/>
      <c r="G65" s="1"/>
      <c r="H65" s="1"/>
      <c r="I65" s="1"/>
      <c r="J65" s="1"/>
      <c r="K65" s="16"/>
      <c r="L65" s="1"/>
      <c r="M65" s="50"/>
      <c r="N65" s="1"/>
    </row>
    <row r="66" spans="4:14" s="46" customFormat="1" ht="20.100000000000001" customHeight="1">
      <c r="D66" s="47"/>
      <c r="E66" s="44"/>
      <c r="F66" s="1"/>
      <c r="G66" s="1"/>
      <c r="H66" s="1"/>
      <c r="I66" s="1"/>
      <c r="J66" s="1"/>
      <c r="K66" s="16"/>
      <c r="L66" s="1"/>
      <c r="M66" s="50"/>
      <c r="N66" s="1"/>
    </row>
    <row r="67" spans="4:14" s="46" customFormat="1" ht="20.100000000000001" customHeight="1">
      <c r="D67" s="47"/>
      <c r="E67" s="44"/>
      <c r="F67" s="1"/>
      <c r="G67" s="1"/>
      <c r="H67" s="1"/>
      <c r="I67" s="1"/>
      <c r="J67" s="1"/>
      <c r="K67" s="16"/>
      <c r="L67" s="1"/>
      <c r="M67" s="50"/>
      <c r="N67" s="1"/>
    </row>
    <row r="68" spans="4:14" s="46" customFormat="1" ht="20.100000000000001" customHeight="1">
      <c r="D68" s="47"/>
      <c r="E68" s="44"/>
      <c r="F68" s="1"/>
      <c r="G68" s="1"/>
      <c r="H68" s="1"/>
      <c r="I68" s="1"/>
      <c r="J68" s="1"/>
      <c r="K68" s="16"/>
      <c r="L68" s="1"/>
      <c r="M68" s="50"/>
      <c r="N68" s="1"/>
    </row>
    <row r="69" spans="4:14" s="46" customFormat="1" ht="20.100000000000001" customHeight="1">
      <c r="D69" s="47"/>
      <c r="E69" s="44"/>
      <c r="F69" s="1"/>
      <c r="G69" s="1"/>
      <c r="H69" s="1"/>
      <c r="I69" s="1"/>
      <c r="J69" s="1"/>
      <c r="K69" s="16"/>
      <c r="L69" s="1"/>
      <c r="M69" s="50"/>
      <c r="N69" s="1"/>
    </row>
    <row r="70" spans="4:14" s="46" customFormat="1" ht="20.100000000000001" customHeight="1">
      <c r="D70" s="47"/>
      <c r="E70" s="44"/>
      <c r="F70" s="1"/>
      <c r="G70" s="1"/>
      <c r="H70" s="1"/>
      <c r="I70" s="1"/>
      <c r="J70" s="1"/>
      <c r="K70" s="16"/>
      <c r="L70" s="1"/>
      <c r="M70" s="50"/>
      <c r="N70" s="1"/>
    </row>
  </sheetData>
  <mergeCells count="8">
    <mergeCell ref="A58:H58"/>
    <mergeCell ref="B10:C10"/>
    <mergeCell ref="A1:K2"/>
    <mergeCell ref="B4:D4"/>
    <mergeCell ref="F4:F5"/>
    <mergeCell ref="B8:D8"/>
    <mergeCell ref="G4:K5"/>
    <mergeCell ref="B6:D7"/>
  </mergeCells>
  <printOptions horizontalCentered="1"/>
  <pageMargins left="0.78740157480314965" right="0.78740157480314965" top="0.86614173228346458" bottom="0.59055118110236227" header="0.27559055118110237" footer="0.39370078740157483"/>
  <pageSetup paperSize="9" scale="57" orientation="landscape" verticalDpi="1200" r:id="rId1"/>
  <headerFooter alignWithMargins="0">
    <oddFooter>&amp;C&amp;10Página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showGridLines="0" view="pageBreakPreview" zoomScaleSheetLayoutView="100" workbookViewId="0">
      <selection activeCell="A16" sqref="A16:B18"/>
    </sheetView>
  </sheetViews>
  <sheetFormatPr defaultRowHeight="15"/>
  <cols>
    <col min="1" max="1" width="9.140625" style="71"/>
    <col min="2" max="2" width="74.85546875" style="156" customWidth="1"/>
    <col min="3" max="3" width="18" style="156" customWidth="1"/>
    <col min="4" max="4" width="9.140625" style="156"/>
    <col min="5" max="5" width="15.140625" style="156" customWidth="1"/>
    <col min="6" max="6" width="9.140625" style="156"/>
    <col min="7" max="7" width="15.140625" style="156" customWidth="1"/>
    <col min="8" max="8" width="9.140625" style="156" customWidth="1"/>
    <col min="9" max="9" width="14.5703125" style="156" customWidth="1"/>
    <col min="10" max="250" width="9.140625" style="156"/>
    <col min="251" max="251" width="41.85546875" style="156" customWidth="1"/>
    <col min="252" max="252" width="18" style="156" customWidth="1"/>
    <col min="253" max="506" width="9.140625" style="156"/>
    <col min="507" max="507" width="41.85546875" style="156" customWidth="1"/>
    <col min="508" max="508" width="18" style="156" customWidth="1"/>
    <col min="509" max="762" width="9.140625" style="156"/>
    <col min="763" max="763" width="41.85546875" style="156" customWidth="1"/>
    <col min="764" max="764" width="18" style="156" customWidth="1"/>
    <col min="765" max="1018" width="9.140625" style="156"/>
    <col min="1019" max="1019" width="41.85546875" style="156" customWidth="1"/>
    <col min="1020" max="1020" width="18" style="156" customWidth="1"/>
    <col min="1021" max="1274" width="9.140625" style="156"/>
    <col min="1275" max="1275" width="41.85546875" style="156" customWidth="1"/>
    <col min="1276" max="1276" width="18" style="156" customWidth="1"/>
    <col min="1277" max="1530" width="9.140625" style="156"/>
    <col min="1531" max="1531" width="41.85546875" style="156" customWidth="1"/>
    <col min="1532" max="1532" width="18" style="156" customWidth="1"/>
    <col min="1533" max="1786" width="9.140625" style="156"/>
    <col min="1787" max="1787" width="41.85546875" style="156" customWidth="1"/>
    <col min="1788" max="1788" width="18" style="156" customWidth="1"/>
    <col min="1789" max="2042" width="9.140625" style="156"/>
    <col min="2043" max="2043" width="41.85546875" style="156" customWidth="1"/>
    <col min="2044" max="2044" width="18" style="156" customWidth="1"/>
    <col min="2045" max="2298" width="9.140625" style="156"/>
    <col min="2299" max="2299" width="41.85546875" style="156" customWidth="1"/>
    <col min="2300" max="2300" width="18" style="156" customWidth="1"/>
    <col min="2301" max="2554" width="9.140625" style="156"/>
    <col min="2555" max="2555" width="41.85546875" style="156" customWidth="1"/>
    <col min="2556" max="2556" width="18" style="156" customWidth="1"/>
    <col min="2557" max="2810" width="9.140625" style="156"/>
    <col min="2811" max="2811" width="41.85546875" style="156" customWidth="1"/>
    <col min="2812" max="2812" width="18" style="156" customWidth="1"/>
    <col min="2813" max="3066" width="9.140625" style="156"/>
    <col min="3067" max="3067" width="41.85546875" style="156" customWidth="1"/>
    <col min="3068" max="3068" width="18" style="156" customWidth="1"/>
    <col min="3069" max="3322" width="9.140625" style="156"/>
    <col min="3323" max="3323" width="41.85546875" style="156" customWidth="1"/>
    <col min="3324" max="3324" width="18" style="156" customWidth="1"/>
    <col min="3325" max="3578" width="9.140625" style="156"/>
    <col min="3579" max="3579" width="41.85546875" style="156" customWidth="1"/>
    <col min="3580" max="3580" width="18" style="156" customWidth="1"/>
    <col min="3581" max="3834" width="9.140625" style="156"/>
    <col min="3835" max="3835" width="41.85546875" style="156" customWidth="1"/>
    <col min="3836" max="3836" width="18" style="156" customWidth="1"/>
    <col min="3837" max="4090" width="9.140625" style="156"/>
    <col min="4091" max="4091" width="41.85546875" style="156" customWidth="1"/>
    <col min="4092" max="4092" width="18" style="156" customWidth="1"/>
    <col min="4093" max="4346" width="9.140625" style="156"/>
    <col min="4347" max="4347" width="41.85546875" style="156" customWidth="1"/>
    <col min="4348" max="4348" width="18" style="156" customWidth="1"/>
    <col min="4349" max="4602" width="9.140625" style="156"/>
    <col min="4603" max="4603" width="41.85546875" style="156" customWidth="1"/>
    <col min="4604" max="4604" width="18" style="156" customWidth="1"/>
    <col min="4605" max="4858" width="9.140625" style="156"/>
    <col min="4859" max="4859" width="41.85546875" style="156" customWidth="1"/>
    <col min="4860" max="4860" width="18" style="156" customWidth="1"/>
    <col min="4861" max="5114" width="9.140625" style="156"/>
    <col min="5115" max="5115" width="41.85546875" style="156" customWidth="1"/>
    <col min="5116" max="5116" width="18" style="156" customWidth="1"/>
    <col min="5117" max="5370" width="9.140625" style="156"/>
    <col min="5371" max="5371" width="41.85546875" style="156" customWidth="1"/>
    <col min="5372" max="5372" width="18" style="156" customWidth="1"/>
    <col min="5373" max="5626" width="9.140625" style="156"/>
    <col min="5627" max="5627" width="41.85546875" style="156" customWidth="1"/>
    <col min="5628" max="5628" width="18" style="156" customWidth="1"/>
    <col min="5629" max="5882" width="9.140625" style="156"/>
    <col min="5883" max="5883" width="41.85546875" style="156" customWidth="1"/>
    <col min="5884" max="5884" width="18" style="156" customWidth="1"/>
    <col min="5885" max="6138" width="9.140625" style="156"/>
    <col min="6139" max="6139" width="41.85546875" style="156" customWidth="1"/>
    <col min="6140" max="6140" width="18" style="156" customWidth="1"/>
    <col min="6141" max="6394" width="9.140625" style="156"/>
    <col min="6395" max="6395" width="41.85546875" style="156" customWidth="1"/>
    <col min="6396" max="6396" width="18" style="156" customWidth="1"/>
    <col min="6397" max="6650" width="9.140625" style="156"/>
    <col min="6651" max="6651" width="41.85546875" style="156" customWidth="1"/>
    <col min="6652" max="6652" width="18" style="156" customWidth="1"/>
    <col min="6653" max="6906" width="9.140625" style="156"/>
    <col min="6907" max="6907" width="41.85546875" style="156" customWidth="1"/>
    <col min="6908" max="6908" width="18" style="156" customWidth="1"/>
    <col min="6909" max="7162" width="9.140625" style="156"/>
    <col min="7163" max="7163" width="41.85546875" style="156" customWidth="1"/>
    <col min="7164" max="7164" width="18" style="156" customWidth="1"/>
    <col min="7165" max="7418" width="9.140625" style="156"/>
    <col min="7419" max="7419" width="41.85546875" style="156" customWidth="1"/>
    <col min="7420" max="7420" width="18" style="156" customWidth="1"/>
    <col min="7421" max="7674" width="9.140625" style="156"/>
    <col min="7675" max="7675" width="41.85546875" style="156" customWidth="1"/>
    <col min="7676" max="7676" width="18" style="156" customWidth="1"/>
    <col min="7677" max="7930" width="9.140625" style="156"/>
    <col min="7931" max="7931" width="41.85546875" style="156" customWidth="1"/>
    <col min="7932" max="7932" width="18" style="156" customWidth="1"/>
    <col min="7933" max="8186" width="9.140625" style="156"/>
    <col min="8187" max="8187" width="41.85546875" style="156" customWidth="1"/>
    <col min="8188" max="8188" width="18" style="156" customWidth="1"/>
    <col min="8189" max="8442" width="9.140625" style="156"/>
    <col min="8443" max="8443" width="41.85546875" style="156" customWidth="1"/>
    <col min="8444" max="8444" width="18" style="156" customWidth="1"/>
    <col min="8445" max="8698" width="9.140625" style="156"/>
    <col min="8699" max="8699" width="41.85546875" style="156" customWidth="1"/>
    <col min="8700" max="8700" width="18" style="156" customWidth="1"/>
    <col min="8701" max="8954" width="9.140625" style="156"/>
    <col min="8955" max="8955" width="41.85546875" style="156" customWidth="1"/>
    <col min="8956" max="8956" width="18" style="156" customWidth="1"/>
    <col min="8957" max="9210" width="9.140625" style="156"/>
    <col min="9211" max="9211" width="41.85546875" style="156" customWidth="1"/>
    <col min="9212" max="9212" width="18" style="156" customWidth="1"/>
    <col min="9213" max="9466" width="9.140625" style="156"/>
    <col min="9467" max="9467" width="41.85546875" style="156" customWidth="1"/>
    <col min="9468" max="9468" width="18" style="156" customWidth="1"/>
    <col min="9469" max="9722" width="9.140625" style="156"/>
    <col min="9723" max="9723" width="41.85546875" style="156" customWidth="1"/>
    <col min="9724" max="9724" width="18" style="156" customWidth="1"/>
    <col min="9725" max="9978" width="9.140625" style="156"/>
    <col min="9979" max="9979" width="41.85546875" style="156" customWidth="1"/>
    <col min="9980" max="9980" width="18" style="156" customWidth="1"/>
    <col min="9981" max="10234" width="9.140625" style="156"/>
    <col min="10235" max="10235" width="41.85546875" style="156" customWidth="1"/>
    <col min="10236" max="10236" width="18" style="156" customWidth="1"/>
    <col min="10237" max="10490" width="9.140625" style="156"/>
    <col min="10491" max="10491" width="41.85546875" style="156" customWidth="1"/>
    <col min="10492" max="10492" width="18" style="156" customWidth="1"/>
    <col min="10493" max="10746" width="9.140625" style="156"/>
    <col min="10747" max="10747" width="41.85546875" style="156" customWidth="1"/>
    <col min="10748" max="10748" width="18" style="156" customWidth="1"/>
    <col min="10749" max="11002" width="9.140625" style="156"/>
    <col min="11003" max="11003" width="41.85546875" style="156" customWidth="1"/>
    <col min="11004" max="11004" width="18" style="156" customWidth="1"/>
    <col min="11005" max="11258" width="9.140625" style="156"/>
    <col min="11259" max="11259" width="41.85546875" style="156" customWidth="1"/>
    <col min="11260" max="11260" width="18" style="156" customWidth="1"/>
    <col min="11261" max="11514" width="9.140625" style="156"/>
    <col min="11515" max="11515" width="41.85546875" style="156" customWidth="1"/>
    <col min="11516" max="11516" width="18" style="156" customWidth="1"/>
    <col min="11517" max="11770" width="9.140625" style="156"/>
    <col min="11771" max="11771" width="41.85546875" style="156" customWidth="1"/>
    <col min="11772" max="11772" width="18" style="156" customWidth="1"/>
    <col min="11773" max="12026" width="9.140625" style="156"/>
    <col min="12027" max="12027" width="41.85546875" style="156" customWidth="1"/>
    <col min="12028" max="12028" width="18" style="156" customWidth="1"/>
    <col min="12029" max="12282" width="9.140625" style="156"/>
    <col min="12283" max="12283" width="41.85546875" style="156" customWidth="1"/>
    <col min="12284" max="12284" width="18" style="156" customWidth="1"/>
    <col min="12285" max="12538" width="9.140625" style="156"/>
    <col min="12539" max="12539" width="41.85546875" style="156" customWidth="1"/>
    <col min="12540" max="12540" width="18" style="156" customWidth="1"/>
    <col min="12541" max="12794" width="9.140625" style="156"/>
    <col min="12795" max="12795" width="41.85546875" style="156" customWidth="1"/>
    <col min="12796" max="12796" width="18" style="156" customWidth="1"/>
    <col min="12797" max="13050" width="9.140625" style="156"/>
    <col min="13051" max="13051" width="41.85546875" style="156" customWidth="1"/>
    <col min="13052" max="13052" width="18" style="156" customWidth="1"/>
    <col min="13053" max="13306" width="9.140625" style="156"/>
    <col min="13307" max="13307" width="41.85546875" style="156" customWidth="1"/>
    <col min="13308" max="13308" width="18" style="156" customWidth="1"/>
    <col min="13309" max="13562" width="9.140625" style="156"/>
    <col min="13563" max="13563" width="41.85546875" style="156" customWidth="1"/>
    <col min="13564" max="13564" width="18" style="156" customWidth="1"/>
    <col min="13565" max="13818" width="9.140625" style="156"/>
    <col min="13819" max="13819" width="41.85546875" style="156" customWidth="1"/>
    <col min="13820" max="13820" width="18" style="156" customWidth="1"/>
    <col min="13821" max="14074" width="9.140625" style="156"/>
    <col min="14075" max="14075" width="41.85546875" style="156" customWidth="1"/>
    <col min="14076" max="14076" width="18" style="156" customWidth="1"/>
    <col min="14077" max="14330" width="9.140625" style="156"/>
    <col min="14331" max="14331" width="41.85546875" style="156" customWidth="1"/>
    <col min="14332" max="14332" width="18" style="156" customWidth="1"/>
    <col min="14333" max="14586" width="9.140625" style="156"/>
    <col min="14587" max="14587" width="41.85546875" style="156" customWidth="1"/>
    <col min="14588" max="14588" width="18" style="156" customWidth="1"/>
    <col min="14589" max="14842" width="9.140625" style="156"/>
    <col min="14843" max="14843" width="41.85546875" style="156" customWidth="1"/>
    <col min="14844" max="14844" width="18" style="156" customWidth="1"/>
    <col min="14845" max="15098" width="9.140625" style="156"/>
    <col min="15099" max="15099" width="41.85546875" style="156" customWidth="1"/>
    <col min="15100" max="15100" width="18" style="156" customWidth="1"/>
    <col min="15101" max="15354" width="9.140625" style="156"/>
    <col min="15355" max="15355" width="41.85546875" style="156" customWidth="1"/>
    <col min="15356" max="15356" width="18" style="156" customWidth="1"/>
    <col min="15357" max="15610" width="9.140625" style="156"/>
    <col min="15611" max="15611" width="41.85546875" style="156" customWidth="1"/>
    <col min="15612" max="15612" width="18" style="156" customWidth="1"/>
    <col min="15613" max="15866" width="9.140625" style="156"/>
    <col min="15867" max="15867" width="41.85546875" style="156" customWidth="1"/>
    <col min="15868" max="15868" width="18" style="156" customWidth="1"/>
    <col min="15869" max="16122" width="9.140625" style="156"/>
    <col min="16123" max="16123" width="41.85546875" style="156" customWidth="1"/>
    <col min="16124" max="16124" width="18" style="156" customWidth="1"/>
    <col min="16125" max="16384" width="9.140625" style="156"/>
  </cols>
  <sheetData>
    <row r="1" spans="1:10" ht="20.100000000000001" customHeight="1">
      <c r="A1" s="448" t="s">
        <v>121</v>
      </c>
      <c r="B1" s="448"/>
      <c r="C1" s="448"/>
      <c r="D1" s="448"/>
      <c r="E1" s="448"/>
      <c r="F1" s="448"/>
      <c r="G1" s="448"/>
      <c r="H1" s="448"/>
    </row>
    <row r="2" spans="1:10" ht="9" customHeight="1">
      <c r="A2" s="159"/>
      <c r="B2" s="159"/>
      <c r="C2" s="159"/>
      <c r="D2" s="159"/>
      <c r="E2" s="155"/>
      <c r="F2" s="155"/>
    </row>
    <row r="3" spans="1:10" ht="20.100000000000001" customHeight="1">
      <c r="A3" s="4" t="s">
        <v>1</v>
      </c>
      <c r="B3" s="160" t="str">
        <f>'RESUMO '!B3</f>
        <v>PAVIMENTAÇÃO URBANA</v>
      </c>
      <c r="C3" s="155"/>
      <c r="D3" s="155"/>
      <c r="E3" s="155"/>
      <c r="F3" s="182" t="str">
        <f>'ORÇAMENTO  (PROJETO)'!F8</f>
        <v>Área Aprox.:</v>
      </c>
      <c r="G3" s="335">
        <f>'RESUMO '!D3</f>
        <v>39035.637000000002</v>
      </c>
    </row>
    <row r="4" spans="1:10" ht="20.100000000000001" customHeight="1">
      <c r="A4" s="4" t="s">
        <v>2</v>
      </c>
      <c r="B4" s="449" t="str">
        <f>'RESUMO '!B4</f>
        <v>AVENIDA ELDEVIR VICTORINO VIECILLI, ENTRE AVENIDA CALIFÓRNIA (E 00) E RUA ALFREDO LORENZZON (E 260 + 12,673m)</v>
      </c>
      <c r="C4" s="449"/>
      <c r="D4" s="155"/>
      <c r="E4" s="155"/>
      <c r="F4" s="182" t="str">
        <f>'RESUMO '!C4</f>
        <v>Referência de Preços:</v>
      </c>
      <c r="G4" s="450" t="str">
        <f>'RESUMO '!D4</f>
        <v>DNIT - SICRO - Março/18                                   SINAPI - Julho/18</v>
      </c>
      <c r="H4" s="450"/>
    </row>
    <row r="5" spans="1:10" ht="20.100000000000001" customHeight="1">
      <c r="A5" s="4"/>
      <c r="B5" s="449"/>
      <c r="C5" s="449"/>
      <c r="D5" s="155"/>
      <c r="E5" s="155"/>
      <c r="G5" s="450"/>
      <c r="H5" s="450"/>
    </row>
    <row r="6" spans="1:10" ht="20.100000000000001" customHeight="1">
      <c r="A6" s="4" t="s">
        <v>3</v>
      </c>
      <c r="B6" s="213" t="str">
        <f>'ORÇAMENTO  (PROJETO)'!B8:D8</f>
        <v>PRIMAVERA DO LESTE - MT</v>
      </c>
      <c r="C6" s="155"/>
      <c r="D6" s="155"/>
      <c r="E6" s="155"/>
      <c r="F6" s="183" t="str">
        <f>[18]ORÇAMENTO!F7</f>
        <v>B.D.I.:</v>
      </c>
      <c r="G6" s="184">
        <f>BDI!C22</f>
        <v>0.22090000000000001</v>
      </c>
    </row>
    <row r="7" spans="1:10" ht="6" customHeight="1">
      <c r="B7" s="155"/>
      <c r="C7" s="155"/>
      <c r="D7" s="155"/>
      <c r="E7" s="155"/>
      <c r="F7" s="155"/>
      <c r="H7" s="164">
        <v>0</v>
      </c>
      <c r="I7" s="185"/>
    </row>
    <row r="8" spans="1:10" s="72" customFormat="1" ht="20.100000000000001" customHeight="1">
      <c r="A8" s="186" t="s">
        <v>6</v>
      </c>
      <c r="B8" s="186" t="s">
        <v>7</v>
      </c>
      <c r="C8" s="186" t="s">
        <v>122</v>
      </c>
      <c r="D8" s="186" t="s">
        <v>12</v>
      </c>
      <c r="E8" s="447" t="s">
        <v>123</v>
      </c>
      <c r="F8" s="447"/>
      <c r="G8" s="447" t="s">
        <v>198</v>
      </c>
      <c r="H8" s="447"/>
      <c r="I8" s="447" t="s">
        <v>287</v>
      </c>
      <c r="J8" s="447"/>
    </row>
    <row r="9" spans="1:10" s="72" customFormat="1" ht="20.100000000000001" customHeight="1">
      <c r="A9" s="187"/>
      <c r="B9" s="187"/>
      <c r="C9" s="187"/>
      <c r="D9" s="187"/>
      <c r="E9" s="166" t="s">
        <v>124</v>
      </c>
      <c r="F9" s="166" t="s">
        <v>12</v>
      </c>
      <c r="G9" s="166"/>
      <c r="H9" s="166"/>
      <c r="I9" s="310"/>
      <c r="J9" s="310"/>
    </row>
    <row r="10" spans="1:10" ht="35.25" customHeight="1">
      <c r="A10" s="188" t="str">
        <f>'RESUMO '!A9</f>
        <v>1.0</v>
      </c>
      <c r="B10" s="189" t="str">
        <f>'RESUMO '!B9</f>
        <v>PAVIMENTAÇÃO</v>
      </c>
      <c r="C10" s="190">
        <f>'ORÇAMENTO  (PROJETO)'!J11</f>
        <v>872890.44000000006</v>
      </c>
      <c r="D10" s="191">
        <f>C10/C13</f>
        <v>0.48489029949250445</v>
      </c>
      <c r="E10" s="192">
        <f>C10*F10</f>
        <v>174578.08800000002</v>
      </c>
      <c r="F10" s="193">
        <v>0.2</v>
      </c>
      <c r="G10" s="192">
        <f>C10*H10</f>
        <v>261867.13200000001</v>
      </c>
      <c r="H10" s="193">
        <v>0.3</v>
      </c>
      <c r="I10" s="192">
        <f>C10*J10</f>
        <v>436445.22000000003</v>
      </c>
      <c r="J10" s="193">
        <v>0.5</v>
      </c>
    </row>
    <row r="11" spans="1:10" ht="35.25" customHeight="1">
      <c r="A11" s="194" t="s">
        <v>197</v>
      </c>
      <c r="B11" s="195" t="str">
        <f>'ORÇAMENTO  (PROJETO)'!D22</f>
        <v xml:space="preserve">DRENAGEM </v>
      </c>
      <c r="C11" s="196">
        <f>'ORÇAMENTO  (PROJETO)'!J22</f>
        <v>927290.84</v>
      </c>
      <c r="D11" s="197">
        <f>C11/C13</f>
        <v>0.51510970050749549</v>
      </c>
      <c r="E11" s="198">
        <f>C11*F11</f>
        <v>278187.25199999998</v>
      </c>
      <c r="F11" s="199">
        <v>0.3</v>
      </c>
      <c r="G11" s="198">
        <f>C11*H11</f>
        <v>370916.33600000001</v>
      </c>
      <c r="H11" s="199">
        <v>0.4</v>
      </c>
      <c r="I11" s="198">
        <f>C11*J11</f>
        <v>278187.25199999998</v>
      </c>
      <c r="J11" s="199">
        <v>0.3</v>
      </c>
    </row>
    <row r="12" spans="1:10" ht="5.0999999999999996" customHeight="1">
      <c r="A12" s="175"/>
      <c r="B12" s="176"/>
      <c r="C12" s="176"/>
      <c r="D12" s="200"/>
      <c r="E12" s="201"/>
      <c r="F12" s="176"/>
      <c r="G12" s="201"/>
      <c r="H12" s="202"/>
      <c r="I12" s="201"/>
      <c r="J12" s="202"/>
    </row>
    <row r="13" spans="1:10" ht="20.100000000000001" customHeight="1">
      <c r="A13" s="203"/>
      <c r="B13" s="204" t="s">
        <v>288</v>
      </c>
      <c r="C13" s="205">
        <f>SUM(C10:C12)</f>
        <v>1800181.28</v>
      </c>
      <c r="D13" s="206">
        <f>C13/$C$13</f>
        <v>1</v>
      </c>
      <c r="E13" s="207">
        <f>SUM(E10:E11)</f>
        <v>452765.33999999997</v>
      </c>
      <c r="F13" s="208">
        <f>E13/C13</f>
        <v>0.25151097005074952</v>
      </c>
      <c r="G13" s="207">
        <f>SUM(G10:G11)</f>
        <v>632783.46799999999</v>
      </c>
      <c r="H13" s="208">
        <f>G13/C13</f>
        <v>0.35151097005074955</v>
      </c>
      <c r="I13" s="207">
        <f>SUM(I10:I11)</f>
        <v>714632.47200000007</v>
      </c>
      <c r="J13" s="208">
        <f>I13/C13</f>
        <v>0.39697805989850093</v>
      </c>
    </row>
    <row r="14" spans="1:10" ht="20.100000000000001" customHeight="1">
      <c r="A14" s="209"/>
      <c r="B14" s="397" t="s">
        <v>289</v>
      </c>
      <c r="C14" s="210"/>
      <c r="D14" s="210"/>
      <c r="E14" s="211">
        <f>E13</f>
        <v>452765.33999999997</v>
      </c>
      <c r="F14" s="212">
        <f>E14/C13</f>
        <v>0.25151097005074952</v>
      </c>
      <c r="G14" s="211">
        <f>G13+E14</f>
        <v>1085548.808</v>
      </c>
      <c r="H14" s="212">
        <f>G14/C13</f>
        <v>0.60302194010149912</v>
      </c>
      <c r="I14" s="211">
        <f>I13+G14</f>
        <v>1800181.28</v>
      </c>
      <c r="J14" s="212">
        <f>I14/C13</f>
        <v>1</v>
      </c>
    </row>
    <row r="16" spans="1:10">
      <c r="A16" s="45" t="s">
        <v>299</v>
      </c>
      <c r="B16" s="42"/>
      <c r="C16" s="42"/>
      <c r="D16" s="43"/>
    </row>
    <row r="17" spans="1:8">
      <c r="A17" s="45"/>
      <c r="B17" s="46" t="s">
        <v>297</v>
      </c>
      <c r="C17" s="46"/>
      <c r="D17" s="47"/>
      <c r="H17" s="182" t="str">
        <f>'RESUMO '!D15</f>
        <v>Primavera do Leste, 01 de Outubro de 2018.</v>
      </c>
    </row>
    <row r="18" spans="1:8">
      <c r="A18" s="46"/>
      <c r="B18" s="46" t="s">
        <v>298</v>
      </c>
      <c r="C18" s="46"/>
      <c r="D18" s="47"/>
    </row>
    <row r="23" spans="1:8">
      <c r="H23" s="361"/>
    </row>
    <row r="25" spans="1:8">
      <c r="B25" s="385"/>
      <c r="C25" s="385"/>
      <c r="D25" s="385"/>
      <c r="E25" s="385"/>
      <c r="F25" s="385"/>
      <c r="G25" s="385"/>
      <c r="H25" s="385"/>
    </row>
    <row r="26" spans="1:8">
      <c r="B26" s="385"/>
      <c r="C26" s="385"/>
      <c r="D26" s="385"/>
      <c r="E26" s="385"/>
      <c r="F26" s="385"/>
      <c r="G26" s="385"/>
      <c r="H26" s="385"/>
    </row>
    <row r="27" spans="1:8">
      <c r="A27" s="72"/>
      <c r="B27" s="385"/>
      <c r="C27" s="386"/>
      <c r="D27" s="387"/>
      <c r="E27" s="388"/>
      <c r="F27" s="385"/>
      <c r="G27" s="385"/>
      <c r="H27" s="389"/>
    </row>
    <row r="28" spans="1:8">
      <c r="B28" s="385"/>
      <c r="C28" s="385"/>
      <c r="D28" s="385"/>
      <c r="E28" s="390"/>
      <c r="F28" s="385"/>
      <c r="G28" s="385"/>
      <c r="H28" s="385"/>
    </row>
    <row r="29" spans="1:8">
      <c r="B29" s="385"/>
      <c r="C29" s="391"/>
      <c r="D29" s="392"/>
      <c r="E29" s="393"/>
      <c r="F29" s="385"/>
      <c r="G29" s="385"/>
      <c r="H29" s="385"/>
    </row>
    <row r="30" spans="1:8">
      <c r="B30" s="385"/>
      <c r="C30" s="385"/>
      <c r="D30" s="385"/>
      <c r="E30" s="385"/>
      <c r="F30" s="385"/>
      <c r="G30" s="385"/>
      <c r="H30" s="385"/>
    </row>
    <row r="31" spans="1:8">
      <c r="B31" s="385"/>
      <c r="C31" s="385"/>
      <c r="D31" s="385"/>
      <c r="E31" s="394"/>
      <c r="F31" s="385"/>
      <c r="G31" s="385"/>
      <c r="H31" s="385"/>
    </row>
    <row r="32" spans="1:8">
      <c r="B32" s="385"/>
      <c r="C32" s="385"/>
      <c r="D32" s="385"/>
      <c r="E32" s="385"/>
      <c r="F32" s="385"/>
      <c r="G32" s="385"/>
      <c r="H32" s="385"/>
    </row>
    <row r="33" spans="1:9">
      <c r="B33" s="385"/>
      <c r="C33" s="385"/>
      <c r="D33" s="385"/>
      <c r="E33" s="385"/>
      <c r="F33" s="385"/>
      <c r="G33" s="385"/>
      <c r="H33" s="385"/>
    </row>
    <row r="34" spans="1:9">
      <c r="B34" s="385"/>
      <c r="C34" s="385"/>
      <c r="D34" s="385"/>
      <c r="E34" s="385"/>
      <c r="F34" s="385"/>
      <c r="G34" s="385"/>
      <c r="H34" s="385"/>
    </row>
    <row r="36" spans="1:9" s="361" customFormat="1">
      <c r="A36" s="72"/>
      <c r="I36" s="156"/>
    </row>
    <row r="38" spans="1:9" s="385" customFormat="1">
      <c r="A38" s="395"/>
    </row>
    <row r="39" spans="1:9" s="385" customFormat="1">
      <c r="A39" s="395"/>
    </row>
    <row r="40" spans="1:9" s="385" customFormat="1">
      <c r="A40" s="395"/>
    </row>
    <row r="41" spans="1:9" s="385" customFormat="1">
      <c r="A41" s="395"/>
    </row>
    <row r="42" spans="1:9" s="385" customFormat="1">
      <c r="A42" s="395"/>
    </row>
    <row r="43" spans="1:9" s="385" customFormat="1">
      <c r="A43" s="395"/>
    </row>
    <row r="44" spans="1:9" s="385" customFormat="1">
      <c r="A44" s="395"/>
    </row>
    <row r="45" spans="1:9" s="385" customFormat="1">
      <c r="A45" s="395"/>
    </row>
    <row r="46" spans="1:9" s="385" customFormat="1">
      <c r="A46" s="395"/>
    </row>
    <row r="47" spans="1:9" s="389" customFormat="1">
      <c r="A47" s="396"/>
      <c r="I47" s="385"/>
    </row>
    <row r="48" spans="1:9" s="385" customFormat="1">
      <c r="A48" s="395"/>
    </row>
    <row r="49" spans="1:1" s="385" customFormat="1">
      <c r="A49" s="395"/>
    </row>
    <row r="50" spans="1:1" s="385" customFormat="1">
      <c r="A50" s="395"/>
    </row>
    <row r="51" spans="1:1" s="385" customFormat="1">
      <c r="A51" s="395"/>
    </row>
    <row r="52" spans="1:1" s="385" customFormat="1">
      <c r="A52" s="395"/>
    </row>
    <row r="53" spans="1:1" s="385" customFormat="1">
      <c r="A53" s="395"/>
    </row>
    <row r="54" spans="1:1" s="385" customFormat="1">
      <c r="A54" s="395"/>
    </row>
    <row r="55" spans="1:1" s="385" customFormat="1">
      <c r="A55" s="395"/>
    </row>
    <row r="56" spans="1:1" s="385" customFormat="1">
      <c r="A56" s="395"/>
    </row>
    <row r="57" spans="1:1" s="385" customFormat="1">
      <c r="A57" s="395"/>
    </row>
    <row r="58" spans="1:1" s="385" customFormat="1">
      <c r="A58" s="395"/>
    </row>
    <row r="59" spans="1:1" s="385" customFormat="1">
      <c r="A59" s="395"/>
    </row>
    <row r="60" spans="1:1" s="385" customFormat="1">
      <c r="A60" s="395"/>
    </row>
    <row r="61" spans="1:1" s="385" customFormat="1">
      <c r="A61" s="395"/>
    </row>
    <row r="62" spans="1:1" s="385" customFormat="1">
      <c r="A62" s="395"/>
    </row>
    <row r="63" spans="1:1" s="385" customFormat="1">
      <c r="A63" s="395"/>
    </row>
  </sheetData>
  <mergeCells count="6">
    <mergeCell ref="I8:J8"/>
    <mergeCell ref="A1:H1"/>
    <mergeCell ref="E8:F8"/>
    <mergeCell ref="G8:H8"/>
    <mergeCell ref="B4:C5"/>
    <mergeCell ref="G4:H5"/>
  </mergeCells>
  <printOptions horizontalCentered="1"/>
  <pageMargins left="0.78740157480314965" right="2.1653543307086616" top="0.97" bottom="0.51181102362204722" header="0.31496062992125984" footer="0.31496062992125984"/>
  <pageSetup paperSize="9" scale="60" orientation="landscape" verticalDpi="1200" r:id="rId1"/>
  <headerFooter>
    <oddFooter>&amp;C&amp;8Página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showGridLines="0" view="pageBreakPreview" zoomScale="115" zoomScaleSheetLayoutView="115" workbookViewId="0">
      <selection activeCell="F27" sqref="F27"/>
    </sheetView>
  </sheetViews>
  <sheetFormatPr defaultRowHeight="15"/>
  <cols>
    <col min="1" max="1" width="9.140625" style="71"/>
    <col min="2" max="2" width="88.85546875" style="156" customWidth="1"/>
    <col min="3" max="3" width="15" style="156" customWidth="1"/>
    <col min="4" max="4" width="19.42578125" style="156" customWidth="1"/>
    <col min="5" max="6" width="9.140625" style="156"/>
    <col min="7" max="7" width="32.5703125" style="156" bestFit="1" customWidth="1"/>
    <col min="8" max="8" width="13" style="157" bestFit="1" customWidth="1"/>
    <col min="9" max="9" width="9.28515625" style="158" bestFit="1" customWidth="1"/>
    <col min="10" max="10" width="10.5703125" style="156" bestFit="1" customWidth="1"/>
    <col min="11" max="257" width="9.140625" style="156"/>
    <col min="258" max="258" width="41.85546875" style="156" customWidth="1"/>
    <col min="259" max="259" width="18" style="156" customWidth="1"/>
    <col min="260" max="513" width="9.140625" style="156"/>
    <col min="514" max="514" width="41.85546875" style="156" customWidth="1"/>
    <col min="515" max="515" width="18" style="156" customWidth="1"/>
    <col min="516" max="769" width="9.140625" style="156"/>
    <col min="770" max="770" width="41.85546875" style="156" customWidth="1"/>
    <col min="771" max="771" width="18" style="156" customWidth="1"/>
    <col min="772" max="1025" width="9.140625" style="156"/>
    <col min="1026" max="1026" width="41.85546875" style="156" customWidth="1"/>
    <col min="1027" max="1027" width="18" style="156" customWidth="1"/>
    <col min="1028" max="1281" width="9.140625" style="156"/>
    <col min="1282" max="1282" width="41.85546875" style="156" customWidth="1"/>
    <col min="1283" max="1283" width="18" style="156" customWidth="1"/>
    <col min="1284" max="1537" width="9.140625" style="156"/>
    <col min="1538" max="1538" width="41.85546875" style="156" customWidth="1"/>
    <col min="1539" max="1539" width="18" style="156" customWidth="1"/>
    <col min="1540" max="1793" width="9.140625" style="156"/>
    <col min="1794" max="1794" width="41.85546875" style="156" customWidth="1"/>
    <col min="1795" max="1795" width="18" style="156" customWidth="1"/>
    <col min="1796" max="2049" width="9.140625" style="156"/>
    <col min="2050" max="2050" width="41.85546875" style="156" customWidth="1"/>
    <col min="2051" max="2051" width="18" style="156" customWidth="1"/>
    <col min="2052" max="2305" width="9.140625" style="156"/>
    <col min="2306" max="2306" width="41.85546875" style="156" customWidth="1"/>
    <col min="2307" max="2307" width="18" style="156" customWidth="1"/>
    <col min="2308" max="2561" width="9.140625" style="156"/>
    <col min="2562" max="2562" width="41.85546875" style="156" customWidth="1"/>
    <col min="2563" max="2563" width="18" style="156" customWidth="1"/>
    <col min="2564" max="2817" width="9.140625" style="156"/>
    <col min="2818" max="2818" width="41.85546875" style="156" customWidth="1"/>
    <col min="2819" max="2819" width="18" style="156" customWidth="1"/>
    <col min="2820" max="3073" width="9.140625" style="156"/>
    <col min="3074" max="3074" width="41.85546875" style="156" customWidth="1"/>
    <col min="3075" max="3075" width="18" style="156" customWidth="1"/>
    <col min="3076" max="3329" width="9.140625" style="156"/>
    <col min="3330" max="3330" width="41.85546875" style="156" customWidth="1"/>
    <col min="3331" max="3331" width="18" style="156" customWidth="1"/>
    <col min="3332" max="3585" width="9.140625" style="156"/>
    <col min="3586" max="3586" width="41.85546875" style="156" customWidth="1"/>
    <col min="3587" max="3587" width="18" style="156" customWidth="1"/>
    <col min="3588" max="3841" width="9.140625" style="156"/>
    <col min="3842" max="3842" width="41.85546875" style="156" customWidth="1"/>
    <col min="3843" max="3843" width="18" style="156" customWidth="1"/>
    <col min="3844" max="4097" width="9.140625" style="156"/>
    <col min="4098" max="4098" width="41.85546875" style="156" customWidth="1"/>
    <col min="4099" max="4099" width="18" style="156" customWidth="1"/>
    <col min="4100" max="4353" width="9.140625" style="156"/>
    <col min="4354" max="4354" width="41.85546875" style="156" customWidth="1"/>
    <col min="4355" max="4355" width="18" style="156" customWidth="1"/>
    <col min="4356" max="4609" width="9.140625" style="156"/>
    <col min="4610" max="4610" width="41.85546875" style="156" customWidth="1"/>
    <col min="4611" max="4611" width="18" style="156" customWidth="1"/>
    <col min="4612" max="4865" width="9.140625" style="156"/>
    <col min="4866" max="4866" width="41.85546875" style="156" customWidth="1"/>
    <col min="4867" max="4867" width="18" style="156" customWidth="1"/>
    <col min="4868" max="5121" width="9.140625" style="156"/>
    <col min="5122" max="5122" width="41.85546875" style="156" customWidth="1"/>
    <col min="5123" max="5123" width="18" style="156" customWidth="1"/>
    <col min="5124" max="5377" width="9.140625" style="156"/>
    <col min="5378" max="5378" width="41.85546875" style="156" customWidth="1"/>
    <col min="5379" max="5379" width="18" style="156" customWidth="1"/>
    <col min="5380" max="5633" width="9.140625" style="156"/>
    <col min="5634" max="5634" width="41.85546875" style="156" customWidth="1"/>
    <col min="5635" max="5635" width="18" style="156" customWidth="1"/>
    <col min="5636" max="5889" width="9.140625" style="156"/>
    <col min="5890" max="5890" width="41.85546875" style="156" customWidth="1"/>
    <col min="5891" max="5891" width="18" style="156" customWidth="1"/>
    <col min="5892" max="6145" width="9.140625" style="156"/>
    <col min="6146" max="6146" width="41.85546875" style="156" customWidth="1"/>
    <col min="6147" max="6147" width="18" style="156" customWidth="1"/>
    <col min="6148" max="6401" width="9.140625" style="156"/>
    <col min="6402" max="6402" width="41.85546875" style="156" customWidth="1"/>
    <col min="6403" max="6403" width="18" style="156" customWidth="1"/>
    <col min="6404" max="6657" width="9.140625" style="156"/>
    <col min="6658" max="6658" width="41.85546875" style="156" customWidth="1"/>
    <col min="6659" max="6659" width="18" style="156" customWidth="1"/>
    <col min="6660" max="6913" width="9.140625" style="156"/>
    <col min="6914" max="6914" width="41.85546875" style="156" customWidth="1"/>
    <col min="6915" max="6915" width="18" style="156" customWidth="1"/>
    <col min="6916" max="7169" width="9.140625" style="156"/>
    <col min="7170" max="7170" width="41.85546875" style="156" customWidth="1"/>
    <col min="7171" max="7171" width="18" style="156" customWidth="1"/>
    <col min="7172" max="7425" width="9.140625" style="156"/>
    <col min="7426" max="7426" width="41.85546875" style="156" customWidth="1"/>
    <col min="7427" max="7427" width="18" style="156" customWidth="1"/>
    <col min="7428" max="7681" width="9.140625" style="156"/>
    <col min="7682" max="7682" width="41.85546875" style="156" customWidth="1"/>
    <col min="7683" max="7683" width="18" style="156" customWidth="1"/>
    <col min="7684" max="7937" width="9.140625" style="156"/>
    <col min="7938" max="7938" width="41.85546875" style="156" customWidth="1"/>
    <col min="7939" max="7939" width="18" style="156" customWidth="1"/>
    <col min="7940" max="8193" width="9.140625" style="156"/>
    <col min="8194" max="8194" width="41.85546875" style="156" customWidth="1"/>
    <col min="8195" max="8195" width="18" style="156" customWidth="1"/>
    <col min="8196" max="8449" width="9.140625" style="156"/>
    <col min="8450" max="8450" width="41.85546875" style="156" customWidth="1"/>
    <col min="8451" max="8451" width="18" style="156" customWidth="1"/>
    <col min="8452" max="8705" width="9.140625" style="156"/>
    <col min="8706" max="8706" width="41.85546875" style="156" customWidth="1"/>
    <col min="8707" max="8707" width="18" style="156" customWidth="1"/>
    <col min="8708" max="8961" width="9.140625" style="156"/>
    <col min="8962" max="8962" width="41.85546875" style="156" customWidth="1"/>
    <col min="8963" max="8963" width="18" style="156" customWidth="1"/>
    <col min="8964" max="9217" width="9.140625" style="156"/>
    <col min="9218" max="9218" width="41.85546875" style="156" customWidth="1"/>
    <col min="9219" max="9219" width="18" style="156" customWidth="1"/>
    <col min="9220" max="9473" width="9.140625" style="156"/>
    <col min="9474" max="9474" width="41.85546875" style="156" customWidth="1"/>
    <col min="9475" max="9475" width="18" style="156" customWidth="1"/>
    <col min="9476" max="9729" width="9.140625" style="156"/>
    <col min="9730" max="9730" width="41.85546875" style="156" customWidth="1"/>
    <col min="9731" max="9731" width="18" style="156" customWidth="1"/>
    <col min="9732" max="9985" width="9.140625" style="156"/>
    <col min="9986" max="9986" width="41.85546875" style="156" customWidth="1"/>
    <col min="9987" max="9987" width="18" style="156" customWidth="1"/>
    <col min="9988" max="10241" width="9.140625" style="156"/>
    <col min="10242" max="10242" width="41.85546875" style="156" customWidth="1"/>
    <col min="10243" max="10243" width="18" style="156" customWidth="1"/>
    <col min="10244" max="10497" width="9.140625" style="156"/>
    <col min="10498" max="10498" width="41.85546875" style="156" customWidth="1"/>
    <col min="10499" max="10499" width="18" style="156" customWidth="1"/>
    <col min="10500" max="10753" width="9.140625" style="156"/>
    <col min="10754" max="10754" width="41.85546875" style="156" customWidth="1"/>
    <col min="10755" max="10755" width="18" style="156" customWidth="1"/>
    <col min="10756" max="11009" width="9.140625" style="156"/>
    <col min="11010" max="11010" width="41.85546875" style="156" customWidth="1"/>
    <col min="11011" max="11011" width="18" style="156" customWidth="1"/>
    <col min="11012" max="11265" width="9.140625" style="156"/>
    <col min="11266" max="11266" width="41.85546875" style="156" customWidth="1"/>
    <col min="11267" max="11267" width="18" style="156" customWidth="1"/>
    <col min="11268" max="11521" width="9.140625" style="156"/>
    <col min="11522" max="11522" width="41.85546875" style="156" customWidth="1"/>
    <col min="11523" max="11523" width="18" style="156" customWidth="1"/>
    <col min="11524" max="11777" width="9.140625" style="156"/>
    <col min="11778" max="11778" width="41.85546875" style="156" customWidth="1"/>
    <col min="11779" max="11779" width="18" style="156" customWidth="1"/>
    <col min="11780" max="12033" width="9.140625" style="156"/>
    <col min="12034" max="12034" width="41.85546875" style="156" customWidth="1"/>
    <col min="12035" max="12035" width="18" style="156" customWidth="1"/>
    <col min="12036" max="12289" width="9.140625" style="156"/>
    <col min="12290" max="12290" width="41.85546875" style="156" customWidth="1"/>
    <col min="12291" max="12291" width="18" style="156" customWidth="1"/>
    <col min="12292" max="12545" width="9.140625" style="156"/>
    <col min="12546" max="12546" width="41.85546875" style="156" customWidth="1"/>
    <col min="12547" max="12547" width="18" style="156" customWidth="1"/>
    <col min="12548" max="12801" width="9.140625" style="156"/>
    <col min="12802" max="12802" width="41.85546875" style="156" customWidth="1"/>
    <col min="12803" max="12803" width="18" style="156" customWidth="1"/>
    <col min="12804" max="13057" width="9.140625" style="156"/>
    <col min="13058" max="13058" width="41.85546875" style="156" customWidth="1"/>
    <col min="13059" max="13059" width="18" style="156" customWidth="1"/>
    <col min="13060" max="13313" width="9.140625" style="156"/>
    <col min="13314" max="13314" width="41.85546875" style="156" customWidth="1"/>
    <col min="13315" max="13315" width="18" style="156" customWidth="1"/>
    <col min="13316" max="13569" width="9.140625" style="156"/>
    <col min="13570" max="13570" width="41.85546875" style="156" customWidth="1"/>
    <col min="13571" max="13571" width="18" style="156" customWidth="1"/>
    <col min="13572" max="13825" width="9.140625" style="156"/>
    <col min="13826" max="13826" width="41.85546875" style="156" customWidth="1"/>
    <col min="13827" max="13827" width="18" style="156" customWidth="1"/>
    <col min="13828" max="14081" width="9.140625" style="156"/>
    <col min="14082" max="14082" width="41.85546875" style="156" customWidth="1"/>
    <col min="14083" max="14083" width="18" style="156" customWidth="1"/>
    <col min="14084" max="14337" width="9.140625" style="156"/>
    <col min="14338" max="14338" width="41.85546875" style="156" customWidth="1"/>
    <col min="14339" max="14339" width="18" style="156" customWidth="1"/>
    <col min="14340" max="14593" width="9.140625" style="156"/>
    <col min="14594" max="14594" width="41.85546875" style="156" customWidth="1"/>
    <col min="14595" max="14595" width="18" style="156" customWidth="1"/>
    <col min="14596" max="14849" width="9.140625" style="156"/>
    <col min="14850" max="14850" width="41.85546875" style="156" customWidth="1"/>
    <col min="14851" max="14851" width="18" style="156" customWidth="1"/>
    <col min="14852" max="15105" width="9.140625" style="156"/>
    <col min="15106" max="15106" width="41.85546875" style="156" customWidth="1"/>
    <col min="15107" max="15107" width="18" style="156" customWidth="1"/>
    <col min="15108" max="15361" width="9.140625" style="156"/>
    <col min="15362" max="15362" width="41.85546875" style="156" customWidth="1"/>
    <col min="15363" max="15363" width="18" style="156" customWidth="1"/>
    <col min="15364" max="15617" width="9.140625" style="156"/>
    <col min="15618" max="15618" width="41.85546875" style="156" customWidth="1"/>
    <col min="15619" max="15619" width="18" style="156" customWidth="1"/>
    <col min="15620" max="15873" width="9.140625" style="156"/>
    <col min="15874" max="15874" width="41.85546875" style="156" customWidth="1"/>
    <col min="15875" max="15875" width="18" style="156" customWidth="1"/>
    <col min="15876" max="16129" width="9.140625" style="156"/>
    <col min="16130" max="16130" width="41.85546875" style="156" customWidth="1"/>
    <col min="16131" max="16131" width="18" style="156" customWidth="1"/>
    <col min="16132" max="16384" width="9.140625" style="156"/>
  </cols>
  <sheetData>
    <row r="1" spans="1:10" ht="20.100000000000001" customHeight="1">
      <c r="A1" s="448" t="s">
        <v>119</v>
      </c>
      <c r="B1" s="448"/>
      <c r="C1" s="448"/>
      <c r="D1" s="448"/>
      <c r="E1" s="155"/>
      <c r="F1" s="155"/>
    </row>
    <row r="2" spans="1:10" ht="15" customHeight="1">
      <c r="A2" s="159"/>
      <c r="B2" s="159"/>
      <c r="C2" s="159"/>
      <c r="D2" s="159"/>
      <c r="E2" s="155"/>
      <c r="F2" s="155"/>
    </row>
    <row r="3" spans="1:10" ht="20.100000000000001" customHeight="1">
      <c r="A3" s="4" t="s">
        <v>1</v>
      </c>
      <c r="B3" s="160" t="str">
        <f>'ORÇAMENTO  (PROJETO)'!B4:D4</f>
        <v>PAVIMENTAÇÃO URBANA</v>
      </c>
      <c r="C3" s="161" t="str">
        <f>CRONOGRAMA!F3</f>
        <v>Área Aprox.:</v>
      </c>
      <c r="D3" s="162">
        <f>'ORÇAMENTO  (PROJETO)'!G8</f>
        <v>39035.637000000002</v>
      </c>
      <c r="E3" s="155"/>
      <c r="F3" s="155"/>
    </row>
    <row r="4" spans="1:10" ht="20.100000000000001" customHeight="1">
      <c r="A4" s="4" t="s">
        <v>2</v>
      </c>
      <c r="B4" s="449" t="str">
        <f>'ORÇAMENTO  (PROJETO)'!B6:D6</f>
        <v>AVENIDA ELDEVIR VICTORINO VIECILLI, ENTRE AVENIDA CALIFÓRNIA (E 00) E RUA ALFREDO LORENZZON (E 260 + 12,673m)</v>
      </c>
      <c r="C4" s="161" t="str">
        <f>[18]ORÇAMENTO!F5</f>
        <v>Referência de Preços:</v>
      </c>
      <c r="D4" s="340" t="str">
        <f>'ORÇAMENTO  (PROJETO)'!G4</f>
        <v>DNIT - SICRO - Março/18                                   SINAPI - Julho/18</v>
      </c>
      <c r="E4" s="155"/>
      <c r="F4" s="155"/>
    </row>
    <row r="5" spans="1:10" ht="20.100000000000001" customHeight="1">
      <c r="A5" s="4"/>
      <c r="B5" s="449"/>
      <c r="C5" s="161"/>
      <c r="D5" s="341"/>
      <c r="E5" s="155"/>
      <c r="F5" s="155"/>
    </row>
    <row r="6" spans="1:10" ht="20.100000000000001" customHeight="1">
      <c r="A6" s="4" t="s">
        <v>3</v>
      </c>
      <c r="B6" s="213" t="str">
        <f>'ORÇAMENTO  (PROJETO)'!B8:D8</f>
        <v>PRIMAVERA DO LESTE - MT</v>
      </c>
      <c r="C6" s="161" t="str">
        <f>[18]ORÇAMENTO!F7</f>
        <v>B.D.I.:</v>
      </c>
      <c r="D6" s="163">
        <f>BDI!C22</f>
        <v>0.22090000000000001</v>
      </c>
      <c r="E6" s="155"/>
      <c r="F6" s="155"/>
    </row>
    <row r="7" spans="1:10" ht="15" customHeight="1">
      <c r="B7" s="155"/>
      <c r="C7" s="155"/>
      <c r="D7" s="155"/>
      <c r="E7" s="155"/>
      <c r="F7" s="155"/>
      <c r="G7" s="164"/>
      <c r="H7" s="165"/>
    </row>
    <row r="8" spans="1:10" s="72" customFormat="1">
      <c r="A8" s="166" t="s">
        <v>6</v>
      </c>
      <c r="B8" s="166" t="s">
        <v>7</v>
      </c>
      <c r="C8" s="167" t="s">
        <v>120</v>
      </c>
      <c r="D8" s="166" t="s">
        <v>12</v>
      </c>
      <c r="H8" s="168"/>
      <c r="I8" s="169"/>
    </row>
    <row r="9" spans="1:10" ht="39.950000000000003" customHeight="1">
      <c r="A9" s="170" t="str">
        <f>[18]ORÇAMENTO!A11</f>
        <v>1.0</v>
      </c>
      <c r="B9" s="171" t="str">
        <f>'ORÇAMENTO  (PROJETO)'!D11</f>
        <v>PAVIMENTAÇÃO</v>
      </c>
      <c r="C9" s="172">
        <f>'ORÇAMENTO  (PROJETO)'!J11</f>
        <v>872890.44000000006</v>
      </c>
      <c r="D9" s="173">
        <f>C9/C13</f>
        <v>0.48489029949250445</v>
      </c>
      <c r="J9" s="174"/>
    </row>
    <row r="10" spans="1:10" ht="39.950000000000003" customHeight="1">
      <c r="A10" s="337" t="str">
        <f>CRONOGRAMA!A11</f>
        <v>2.0</v>
      </c>
      <c r="B10" s="338" t="str">
        <f>CRONOGRAMA!B11</f>
        <v xml:space="preserve">DRENAGEM </v>
      </c>
      <c r="C10" s="339">
        <f>'ORÇAMENTO  (PROJETO)'!J22</f>
        <v>927290.84</v>
      </c>
      <c r="D10" s="173">
        <f>C10/C13</f>
        <v>0.51510970050749549</v>
      </c>
      <c r="J10" s="174"/>
    </row>
    <row r="11" spans="1:10" ht="7.5" customHeight="1">
      <c r="A11" s="170"/>
      <c r="B11" s="171"/>
      <c r="C11" s="172"/>
      <c r="D11" s="173"/>
      <c r="J11" s="174"/>
    </row>
    <row r="12" spans="1:10" ht="5.0999999999999996" customHeight="1">
      <c r="A12" s="175"/>
      <c r="B12" s="176"/>
      <c r="C12" s="176"/>
      <c r="D12" s="177"/>
      <c r="H12" s="157">
        <f>SUM(H13:H25)</f>
        <v>0</v>
      </c>
      <c r="J12" s="174"/>
    </row>
    <row r="13" spans="1:10" ht="20.100000000000001" customHeight="1">
      <c r="A13" s="178"/>
      <c r="B13" s="179" t="s">
        <v>289</v>
      </c>
      <c r="C13" s="180">
        <f>SUM(C9:C10)</f>
        <v>1800181.28</v>
      </c>
      <c r="D13" s="181">
        <f>C13/C13</f>
        <v>1</v>
      </c>
      <c r="J13" s="174"/>
    </row>
    <row r="15" spans="1:10">
      <c r="A15" s="45" t="s">
        <v>299</v>
      </c>
      <c r="B15" s="42"/>
      <c r="D15" s="182" t="str">
        <f>'ORÇAMENTO  (PROJETO)'!K60</f>
        <v>Primavera do Leste, 01 de Outubro de 2018.</v>
      </c>
    </row>
    <row r="16" spans="1:10">
      <c r="A16" s="45"/>
      <c r="B16" s="46" t="s">
        <v>297</v>
      </c>
    </row>
    <row r="17" spans="1:11">
      <c r="A17" s="46"/>
      <c r="B17" s="46" t="s">
        <v>298</v>
      </c>
    </row>
    <row r="20" spans="1:11">
      <c r="B20" s="156" t="s">
        <v>161</v>
      </c>
    </row>
    <row r="22" spans="1:11">
      <c r="H22" s="157">
        <f>H23+H27+H36+H47</f>
        <v>0</v>
      </c>
    </row>
    <row r="23" spans="1:11">
      <c r="H23" s="362">
        <f>SUM(H24:H25)</f>
        <v>0</v>
      </c>
    </row>
    <row r="27" spans="1:11">
      <c r="A27" s="72" t="s">
        <v>195</v>
      </c>
      <c r="C27" s="349">
        <f>'[19]RESUMO '!C26</f>
        <v>0</v>
      </c>
      <c r="D27" s="350">
        <f>'[19]RESUMO '!D26</f>
        <v>0</v>
      </c>
      <c r="E27" s="351">
        <f>'[19]RESUMO '!E26</f>
        <v>0</v>
      </c>
      <c r="H27" s="362">
        <f>SUM(H28:H34)</f>
        <v>0</v>
      </c>
    </row>
    <row r="28" spans="1:11">
      <c r="A28" s="71" t="s">
        <v>237</v>
      </c>
      <c r="B28" s="156" t="s">
        <v>161</v>
      </c>
      <c r="C28" s="195">
        <f>'[19]RESUMO '!C27</f>
        <v>0</v>
      </c>
      <c r="D28" s="196">
        <f>'[19]RESUMO '!D27</f>
        <v>0</v>
      </c>
      <c r="E28" s="197">
        <f>'[19]RESUMO '!E27</f>
        <v>0</v>
      </c>
      <c r="F28" s="156">
        <f>281*2</f>
        <v>562</v>
      </c>
      <c r="G28" s="156">
        <v>5.41</v>
      </c>
      <c r="K28" s="156">
        <v>41.56</v>
      </c>
    </row>
    <row r="29" spans="1:11">
      <c r="A29" s="71" t="s">
        <v>238</v>
      </c>
      <c r="B29" s="156" t="s">
        <v>161</v>
      </c>
      <c r="C29" s="352"/>
      <c r="D29" s="352"/>
      <c r="E29" s="353"/>
      <c r="G29" s="156">
        <v>11.03</v>
      </c>
    </row>
    <row r="30" spans="1:11">
      <c r="A30" s="71" t="s">
        <v>239</v>
      </c>
      <c r="B30" s="156" t="s">
        <v>161</v>
      </c>
      <c r="C30" s="204" t="s">
        <v>39</v>
      </c>
      <c r="D30" s="205">
        <f>SUM(D26:D29)</f>
        <v>0</v>
      </c>
      <c r="E30" s="206" t="e">
        <f>D30/$C$14</f>
        <v>#DIV/0!</v>
      </c>
      <c r="G30" s="156">
        <v>128.55000000000001</v>
      </c>
    </row>
    <row r="31" spans="1:11">
      <c r="A31" s="71" t="s">
        <v>240</v>
      </c>
      <c r="B31" s="156" t="s">
        <v>161</v>
      </c>
      <c r="C31" s="210"/>
      <c r="D31" s="210"/>
      <c r="E31" s="210"/>
      <c r="G31" s="156">
        <v>182.46</v>
      </c>
    </row>
    <row r="32" spans="1:11">
      <c r="A32" s="71" t="s">
        <v>241</v>
      </c>
      <c r="B32" s="156" t="s">
        <v>161</v>
      </c>
      <c r="G32" s="156">
        <v>312.72000000000003</v>
      </c>
    </row>
    <row r="33" spans="1:9">
      <c r="A33" s="71" t="s">
        <v>242</v>
      </c>
      <c r="B33" s="156" t="s">
        <v>161</v>
      </c>
      <c r="G33" s="156">
        <v>450.09</v>
      </c>
    </row>
    <row r="34" spans="1:9">
      <c r="A34" s="71" t="s">
        <v>243</v>
      </c>
      <c r="B34" s="156" t="s">
        <v>161</v>
      </c>
      <c r="G34" s="156">
        <v>563.12</v>
      </c>
    </row>
    <row r="36" spans="1:9" s="361" customFormat="1">
      <c r="A36" s="72" t="s">
        <v>244</v>
      </c>
      <c r="D36" s="361" t="s">
        <v>217</v>
      </c>
      <c r="H36" s="362">
        <f>SUM(H37:H45)</f>
        <v>0</v>
      </c>
      <c r="I36" s="158"/>
    </row>
    <row r="37" spans="1:9">
      <c r="A37" s="71" t="s">
        <v>245</v>
      </c>
      <c r="B37" s="156" t="s">
        <v>161</v>
      </c>
      <c r="C37" s="156" t="s">
        <v>218</v>
      </c>
      <c r="D37" s="156" t="s">
        <v>219</v>
      </c>
      <c r="E37" s="156" t="s">
        <v>220</v>
      </c>
      <c r="G37" s="156">
        <v>1710.39</v>
      </c>
    </row>
    <row r="38" spans="1:9">
      <c r="A38" s="71" t="s">
        <v>246</v>
      </c>
      <c r="B38" s="156" t="s">
        <v>161</v>
      </c>
      <c r="C38" s="156" t="s">
        <v>221</v>
      </c>
      <c r="D38" s="156" t="s">
        <v>222</v>
      </c>
      <c r="E38" s="156" t="s">
        <v>220</v>
      </c>
      <c r="G38" s="156">
        <v>1066.76</v>
      </c>
    </row>
    <row r="39" spans="1:9">
      <c r="A39" s="71" t="s">
        <v>247</v>
      </c>
      <c r="B39" s="156" t="s">
        <v>161</v>
      </c>
      <c r="C39" s="156" t="s">
        <v>223</v>
      </c>
      <c r="D39" s="156" t="s">
        <v>224</v>
      </c>
      <c r="E39" s="156" t="s">
        <v>220</v>
      </c>
      <c r="G39" s="156">
        <v>1433.41</v>
      </c>
    </row>
    <row r="40" spans="1:9">
      <c r="A40" s="71" t="s">
        <v>248</v>
      </c>
      <c r="B40" s="156" t="s">
        <v>161</v>
      </c>
      <c r="C40" s="156" t="s">
        <v>225</v>
      </c>
      <c r="D40" s="156" t="s">
        <v>226</v>
      </c>
      <c r="E40" s="156" t="s">
        <v>220</v>
      </c>
      <c r="G40" s="156">
        <v>1848.63</v>
      </c>
    </row>
    <row r="41" spans="1:9">
      <c r="A41" s="71" t="s">
        <v>249</v>
      </c>
      <c r="B41" s="156" t="s">
        <v>161</v>
      </c>
      <c r="C41" s="156" t="s">
        <v>227</v>
      </c>
      <c r="D41" s="156" t="s">
        <v>228</v>
      </c>
      <c r="E41" s="156" t="s">
        <v>220</v>
      </c>
      <c r="G41" s="156">
        <v>1394.95</v>
      </c>
    </row>
    <row r="42" spans="1:9">
      <c r="A42" s="71" t="s">
        <v>250</v>
      </c>
      <c r="B42" s="156" t="s">
        <v>161</v>
      </c>
      <c r="C42" s="156" t="s">
        <v>229</v>
      </c>
      <c r="D42" s="156" t="s">
        <v>230</v>
      </c>
      <c r="E42" s="156" t="s">
        <v>220</v>
      </c>
      <c r="G42" s="156">
        <v>1601.01</v>
      </c>
    </row>
    <row r="43" spans="1:9">
      <c r="A43" s="71" t="s">
        <v>251</v>
      </c>
      <c r="B43" s="156" t="s">
        <v>161</v>
      </c>
      <c r="C43" s="156" t="s">
        <v>231</v>
      </c>
      <c r="D43" s="156" t="s">
        <v>232</v>
      </c>
      <c r="E43" s="156" t="s">
        <v>220</v>
      </c>
      <c r="G43" s="156">
        <v>1913.2</v>
      </c>
    </row>
    <row r="44" spans="1:9">
      <c r="A44" s="71" t="s">
        <v>252</v>
      </c>
      <c r="B44" s="156" t="s">
        <v>161</v>
      </c>
      <c r="C44" s="156" t="s">
        <v>233</v>
      </c>
      <c r="D44" s="156" t="s">
        <v>234</v>
      </c>
      <c r="E44" s="156" t="s">
        <v>220</v>
      </c>
      <c r="G44" s="156">
        <v>2261.0500000000002</v>
      </c>
    </row>
    <row r="45" spans="1:9">
      <c r="A45" s="71" t="s">
        <v>253</v>
      </c>
      <c r="B45" s="156" t="s">
        <v>161</v>
      </c>
      <c r="C45" s="156" t="s">
        <v>235</v>
      </c>
      <c r="D45" s="156" t="s">
        <v>236</v>
      </c>
      <c r="E45" s="156" t="s">
        <v>220</v>
      </c>
      <c r="G45" s="156">
        <v>1854.02</v>
      </c>
    </row>
    <row r="46" spans="1:9">
      <c r="A46" s="364"/>
      <c r="B46" s="365"/>
      <c r="C46" s="365"/>
      <c r="D46" s="365"/>
      <c r="E46" s="365"/>
      <c r="F46" s="365"/>
      <c r="G46" s="365"/>
      <c r="H46" s="366"/>
    </row>
    <row r="47" spans="1:9" s="361" customFormat="1">
      <c r="A47" s="377" t="s">
        <v>266</v>
      </c>
      <c r="B47" s="378"/>
      <c r="C47" s="378"/>
      <c r="D47" s="378"/>
      <c r="E47" s="378"/>
      <c r="F47" s="378"/>
      <c r="G47" s="378"/>
      <c r="H47" s="379">
        <f>SUM(H48:H55)</f>
        <v>0</v>
      </c>
      <c r="I47" s="158"/>
    </row>
    <row r="48" spans="1:9">
      <c r="A48" s="367" t="s">
        <v>267</v>
      </c>
      <c r="B48" s="368"/>
      <c r="C48" s="368"/>
      <c r="D48" s="368"/>
      <c r="E48" s="368"/>
      <c r="F48" s="368"/>
      <c r="G48" s="368"/>
    </row>
    <row r="49" spans="1:8">
      <c r="A49" s="367" t="s">
        <v>268</v>
      </c>
      <c r="B49" s="368"/>
      <c r="C49" s="368"/>
      <c r="D49" s="368"/>
      <c r="E49" s="368"/>
      <c r="F49" s="368"/>
      <c r="G49" s="368"/>
    </row>
    <row r="50" spans="1:8">
      <c r="A50" s="367" t="s">
        <v>269</v>
      </c>
      <c r="B50" s="368"/>
      <c r="C50" s="368"/>
      <c r="D50" s="368"/>
      <c r="E50" s="368"/>
      <c r="F50" s="368"/>
      <c r="G50" s="368"/>
    </row>
    <row r="51" spans="1:8">
      <c r="A51" s="367" t="s">
        <v>270</v>
      </c>
      <c r="B51" s="368"/>
      <c r="C51" s="368"/>
      <c r="D51" s="368"/>
      <c r="E51" s="368"/>
      <c r="F51" s="368"/>
      <c r="G51" s="368"/>
    </row>
    <row r="52" spans="1:8">
      <c r="A52" s="367" t="s">
        <v>271</v>
      </c>
      <c r="B52" s="368"/>
      <c r="C52" s="368"/>
      <c r="D52" s="368"/>
      <c r="E52" s="368"/>
      <c r="F52" s="368"/>
      <c r="G52" s="368"/>
    </row>
    <row r="53" spans="1:8">
      <c r="A53" s="367" t="s">
        <v>272</v>
      </c>
      <c r="B53" s="368"/>
      <c r="C53" s="368"/>
      <c r="D53" s="368"/>
      <c r="E53" s="368"/>
      <c r="F53" s="368"/>
      <c r="G53" s="368"/>
    </row>
    <row r="54" spans="1:8">
      <c r="A54" s="367" t="s">
        <v>273</v>
      </c>
      <c r="B54" s="368"/>
      <c r="C54" s="368"/>
      <c r="D54" s="368"/>
      <c r="E54" s="368"/>
      <c r="F54" s="368"/>
      <c r="G54" s="368"/>
    </row>
    <row r="55" spans="1:8">
      <c r="A55" s="367" t="s">
        <v>274</v>
      </c>
      <c r="B55" s="368"/>
      <c r="C55" s="368"/>
      <c r="D55" s="368"/>
      <c r="E55" s="368"/>
      <c r="F55" s="368"/>
      <c r="G55" s="368"/>
    </row>
    <row r="56" spans="1:8">
      <c r="A56" s="369"/>
      <c r="B56" s="370"/>
      <c r="C56" s="370"/>
      <c r="D56" s="370"/>
      <c r="E56" s="370"/>
      <c r="F56" s="370"/>
      <c r="G56" s="370"/>
      <c r="H56" s="371"/>
    </row>
  </sheetData>
  <mergeCells count="2">
    <mergeCell ref="A1:D1"/>
    <mergeCell ref="B4:B5"/>
  </mergeCells>
  <printOptions horizontalCentered="1"/>
  <pageMargins left="0.51181102362204722" right="0.51181102362204722" top="2.1653543307086616" bottom="0.78740157480314965" header="0.31496062992125984" footer="0.71"/>
  <pageSetup paperSize="9" scale="69" orientation="portrait" verticalDpi="1200" r:id="rId1"/>
  <headerFooter>
    <oddFooter>&amp;C&amp;8Página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showGridLines="0" view="pageBreakPreview" zoomScaleSheetLayoutView="100" workbookViewId="0">
      <selection activeCell="I14" sqref="I14"/>
    </sheetView>
  </sheetViews>
  <sheetFormatPr defaultColWidth="8.85546875" defaultRowHeight="12.75"/>
  <cols>
    <col min="1" max="1" width="0.85546875" style="217" customWidth="1"/>
    <col min="2" max="2" width="12.85546875" style="217" customWidth="1"/>
    <col min="3" max="3" width="12" style="217" bestFit="1" customWidth="1"/>
    <col min="4" max="4" width="10" style="217" bestFit="1" customWidth="1"/>
    <col min="5" max="5" width="16.28515625" style="217" bestFit="1" customWidth="1"/>
    <col min="6" max="6" width="8.28515625" style="217" customWidth="1"/>
    <col min="7" max="7" width="6.7109375" style="217" bestFit="1" customWidth="1"/>
    <col min="8" max="8" width="1" style="217" customWidth="1"/>
    <col min="9" max="9" width="18.140625" style="217" customWidth="1"/>
    <col min="10" max="13" width="11" style="217" customWidth="1"/>
    <col min="14" max="14" width="4.28515625" style="217" customWidth="1"/>
    <col min="15" max="15" width="8.85546875" style="217"/>
    <col min="16" max="16" width="5.42578125" style="218" customWidth="1"/>
    <col min="17" max="17" width="7" style="217" customWidth="1"/>
    <col min="18" max="18" width="15.140625" style="217" bestFit="1" customWidth="1"/>
    <col min="19" max="19" width="8.85546875" style="217"/>
    <col min="20" max="20" width="10.7109375" style="217" customWidth="1"/>
    <col min="21" max="21" width="8.85546875" style="217"/>
    <col min="22" max="22" width="11" style="217" customWidth="1"/>
    <col min="23" max="256" width="8.85546875" style="217"/>
    <col min="257" max="257" width="0.85546875" style="217" customWidth="1"/>
    <col min="258" max="258" width="12.85546875" style="217" customWidth="1"/>
    <col min="259" max="259" width="12" style="217" bestFit="1" customWidth="1"/>
    <col min="260" max="260" width="10" style="217" bestFit="1" customWidth="1"/>
    <col min="261" max="261" width="16.28515625" style="217" bestFit="1" customWidth="1"/>
    <col min="262" max="262" width="8.28515625" style="217" customWidth="1"/>
    <col min="263" max="263" width="6.7109375" style="217" bestFit="1" customWidth="1"/>
    <col min="264" max="264" width="1" style="217" customWidth="1"/>
    <col min="265" max="265" width="18.140625" style="217" customWidth="1"/>
    <col min="266" max="269" width="11" style="217" customWidth="1"/>
    <col min="270" max="270" width="4.28515625" style="217" customWidth="1"/>
    <col min="271" max="271" width="8.85546875" style="217"/>
    <col min="272" max="272" width="5.42578125" style="217" customWidth="1"/>
    <col min="273" max="273" width="7" style="217" customWidth="1"/>
    <col min="274" max="274" width="15.140625" style="217" bestFit="1" customWidth="1"/>
    <col min="275" max="275" width="8.85546875" style="217"/>
    <col min="276" max="276" width="10.7109375" style="217" customWidth="1"/>
    <col min="277" max="277" width="8.85546875" style="217"/>
    <col min="278" max="278" width="11" style="217" customWidth="1"/>
    <col min="279" max="512" width="8.85546875" style="217"/>
    <col min="513" max="513" width="0.85546875" style="217" customWidth="1"/>
    <col min="514" max="514" width="12.85546875" style="217" customWidth="1"/>
    <col min="515" max="515" width="12" style="217" bestFit="1" customWidth="1"/>
    <col min="516" max="516" width="10" style="217" bestFit="1" customWidth="1"/>
    <col min="517" max="517" width="16.28515625" style="217" bestFit="1" customWidth="1"/>
    <col min="518" max="518" width="8.28515625" style="217" customWidth="1"/>
    <col min="519" max="519" width="6.7109375" style="217" bestFit="1" customWidth="1"/>
    <col min="520" max="520" width="1" style="217" customWidth="1"/>
    <col min="521" max="521" width="18.140625" style="217" customWidth="1"/>
    <col min="522" max="525" width="11" style="217" customWidth="1"/>
    <col min="526" max="526" width="4.28515625" style="217" customWidth="1"/>
    <col min="527" max="527" width="8.85546875" style="217"/>
    <col min="528" max="528" width="5.42578125" style="217" customWidth="1"/>
    <col min="529" max="529" width="7" style="217" customWidth="1"/>
    <col min="530" max="530" width="15.140625" style="217" bestFit="1" customWidth="1"/>
    <col min="531" max="531" width="8.85546875" style="217"/>
    <col min="532" max="532" width="10.7109375" style="217" customWidth="1"/>
    <col min="533" max="533" width="8.85546875" style="217"/>
    <col min="534" max="534" width="11" style="217" customWidth="1"/>
    <col min="535" max="768" width="8.85546875" style="217"/>
    <col min="769" max="769" width="0.85546875" style="217" customWidth="1"/>
    <col min="770" max="770" width="12.85546875" style="217" customWidth="1"/>
    <col min="771" max="771" width="12" style="217" bestFit="1" customWidth="1"/>
    <col min="772" max="772" width="10" style="217" bestFit="1" customWidth="1"/>
    <col min="773" max="773" width="16.28515625" style="217" bestFit="1" customWidth="1"/>
    <col min="774" max="774" width="8.28515625" style="217" customWidth="1"/>
    <col min="775" max="775" width="6.7109375" style="217" bestFit="1" customWidth="1"/>
    <col min="776" max="776" width="1" style="217" customWidth="1"/>
    <col min="777" max="777" width="18.140625" style="217" customWidth="1"/>
    <col min="778" max="781" width="11" style="217" customWidth="1"/>
    <col min="782" max="782" width="4.28515625" style="217" customWidth="1"/>
    <col min="783" max="783" width="8.85546875" style="217"/>
    <col min="784" max="784" width="5.42578125" style="217" customWidth="1"/>
    <col min="785" max="785" width="7" style="217" customWidth="1"/>
    <col min="786" max="786" width="15.140625" style="217" bestFit="1" customWidth="1"/>
    <col min="787" max="787" width="8.85546875" style="217"/>
    <col min="788" max="788" width="10.7109375" style="217" customWidth="1"/>
    <col min="789" max="789" width="8.85546875" style="217"/>
    <col min="790" max="790" width="11" style="217" customWidth="1"/>
    <col min="791" max="1024" width="8.85546875" style="217"/>
    <col min="1025" max="1025" width="0.85546875" style="217" customWidth="1"/>
    <col min="1026" max="1026" width="12.85546875" style="217" customWidth="1"/>
    <col min="1027" max="1027" width="12" style="217" bestFit="1" customWidth="1"/>
    <col min="1028" max="1028" width="10" style="217" bestFit="1" customWidth="1"/>
    <col min="1029" max="1029" width="16.28515625" style="217" bestFit="1" customWidth="1"/>
    <col min="1030" max="1030" width="8.28515625" style="217" customWidth="1"/>
    <col min="1031" max="1031" width="6.7109375" style="217" bestFit="1" customWidth="1"/>
    <col min="1032" max="1032" width="1" style="217" customWidth="1"/>
    <col min="1033" max="1033" width="18.140625" style="217" customWidth="1"/>
    <col min="1034" max="1037" width="11" style="217" customWidth="1"/>
    <col min="1038" max="1038" width="4.28515625" style="217" customWidth="1"/>
    <col min="1039" max="1039" width="8.85546875" style="217"/>
    <col min="1040" max="1040" width="5.42578125" style="217" customWidth="1"/>
    <col min="1041" max="1041" width="7" style="217" customWidth="1"/>
    <col min="1042" max="1042" width="15.140625" style="217" bestFit="1" customWidth="1"/>
    <col min="1043" max="1043" width="8.85546875" style="217"/>
    <col min="1044" max="1044" width="10.7109375" style="217" customWidth="1"/>
    <col min="1045" max="1045" width="8.85546875" style="217"/>
    <col min="1046" max="1046" width="11" style="217" customWidth="1"/>
    <col min="1047" max="1280" width="8.85546875" style="217"/>
    <col min="1281" max="1281" width="0.85546875" style="217" customWidth="1"/>
    <col min="1282" max="1282" width="12.85546875" style="217" customWidth="1"/>
    <col min="1283" max="1283" width="12" style="217" bestFit="1" customWidth="1"/>
    <col min="1284" max="1284" width="10" style="217" bestFit="1" customWidth="1"/>
    <col min="1285" max="1285" width="16.28515625" style="217" bestFit="1" customWidth="1"/>
    <col min="1286" max="1286" width="8.28515625" style="217" customWidth="1"/>
    <col min="1287" max="1287" width="6.7109375" style="217" bestFit="1" customWidth="1"/>
    <col min="1288" max="1288" width="1" style="217" customWidth="1"/>
    <col min="1289" max="1289" width="18.140625" style="217" customWidth="1"/>
    <col min="1290" max="1293" width="11" style="217" customWidth="1"/>
    <col min="1294" max="1294" width="4.28515625" style="217" customWidth="1"/>
    <col min="1295" max="1295" width="8.85546875" style="217"/>
    <col min="1296" max="1296" width="5.42578125" style="217" customWidth="1"/>
    <col min="1297" max="1297" width="7" style="217" customWidth="1"/>
    <col min="1298" max="1298" width="15.140625" style="217" bestFit="1" customWidth="1"/>
    <col min="1299" max="1299" width="8.85546875" style="217"/>
    <col min="1300" max="1300" width="10.7109375" style="217" customWidth="1"/>
    <col min="1301" max="1301" width="8.85546875" style="217"/>
    <col min="1302" max="1302" width="11" style="217" customWidth="1"/>
    <col min="1303" max="1536" width="8.85546875" style="217"/>
    <col min="1537" max="1537" width="0.85546875" style="217" customWidth="1"/>
    <col min="1538" max="1538" width="12.85546875" style="217" customWidth="1"/>
    <col min="1539" max="1539" width="12" style="217" bestFit="1" customWidth="1"/>
    <col min="1540" max="1540" width="10" style="217" bestFit="1" customWidth="1"/>
    <col min="1541" max="1541" width="16.28515625" style="217" bestFit="1" customWidth="1"/>
    <col min="1542" max="1542" width="8.28515625" style="217" customWidth="1"/>
    <col min="1543" max="1543" width="6.7109375" style="217" bestFit="1" customWidth="1"/>
    <col min="1544" max="1544" width="1" style="217" customWidth="1"/>
    <col min="1545" max="1545" width="18.140625" style="217" customWidth="1"/>
    <col min="1546" max="1549" width="11" style="217" customWidth="1"/>
    <col min="1550" max="1550" width="4.28515625" style="217" customWidth="1"/>
    <col min="1551" max="1551" width="8.85546875" style="217"/>
    <col min="1552" max="1552" width="5.42578125" style="217" customWidth="1"/>
    <col min="1553" max="1553" width="7" style="217" customWidth="1"/>
    <col min="1554" max="1554" width="15.140625" style="217" bestFit="1" customWidth="1"/>
    <col min="1555" max="1555" width="8.85546875" style="217"/>
    <col min="1556" max="1556" width="10.7109375" style="217" customWidth="1"/>
    <col min="1557" max="1557" width="8.85546875" style="217"/>
    <col min="1558" max="1558" width="11" style="217" customWidth="1"/>
    <col min="1559" max="1792" width="8.85546875" style="217"/>
    <col min="1793" max="1793" width="0.85546875" style="217" customWidth="1"/>
    <col min="1794" max="1794" width="12.85546875" style="217" customWidth="1"/>
    <col min="1795" max="1795" width="12" style="217" bestFit="1" customWidth="1"/>
    <col min="1796" max="1796" width="10" style="217" bestFit="1" customWidth="1"/>
    <col min="1797" max="1797" width="16.28515625" style="217" bestFit="1" customWidth="1"/>
    <col min="1798" max="1798" width="8.28515625" style="217" customWidth="1"/>
    <col min="1799" max="1799" width="6.7109375" style="217" bestFit="1" customWidth="1"/>
    <col min="1800" max="1800" width="1" style="217" customWidth="1"/>
    <col min="1801" max="1801" width="18.140625" style="217" customWidth="1"/>
    <col min="1802" max="1805" width="11" style="217" customWidth="1"/>
    <col min="1806" max="1806" width="4.28515625" style="217" customWidth="1"/>
    <col min="1807" max="1807" width="8.85546875" style="217"/>
    <col min="1808" max="1808" width="5.42578125" style="217" customWidth="1"/>
    <col min="1809" max="1809" width="7" style="217" customWidth="1"/>
    <col min="1810" max="1810" width="15.140625" style="217" bestFit="1" customWidth="1"/>
    <col min="1811" max="1811" width="8.85546875" style="217"/>
    <col min="1812" max="1812" width="10.7109375" style="217" customWidth="1"/>
    <col min="1813" max="1813" width="8.85546875" style="217"/>
    <col min="1814" max="1814" width="11" style="217" customWidth="1"/>
    <col min="1815" max="2048" width="8.85546875" style="217"/>
    <col min="2049" max="2049" width="0.85546875" style="217" customWidth="1"/>
    <col min="2050" max="2050" width="12.85546875" style="217" customWidth="1"/>
    <col min="2051" max="2051" width="12" style="217" bestFit="1" customWidth="1"/>
    <col min="2052" max="2052" width="10" style="217" bestFit="1" customWidth="1"/>
    <col min="2053" max="2053" width="16.28515625" style="217" bestFit="1" customWidth="1"/>
    <col min="2054" max="2054" width="8.28515625" style="217" customWidth="1"/>
    <col min="2055" max="2055" width="6.7109375" style="217" bestFit="1" customWidth="1"/>
    <col min="2056" max="2056" width="1" style="217" customWidth="1"/>
    <col min="2057" max="2057" width="18.140625" style="217" customWidth="1"/>
    <col min="2058" max="2061" width="11" style="217" customWidth="1"/>
    <col min="2062" max="2062" width="4.28515625" style="217" customWidth="1"/>
    <col min="2063" max="2063" width="8.85546875" style="217"/>
    <col min="2064" max="2064" width="5.42578125" style="217" customWidth="1"/>
    <col min="2065" max="2065" width="7" style="217" customWidth="1"/>
    <col min="2066" max="2066" width="15.140625" style="217" bestFit="1" customWidth="1"/>
    <col min="2067" max="2067" width="8.85546875" style="217"/>
    <col min="2068" max="2068" width="10.7109375" style="217" customWidth="1"/>
    <col min="2069" max="2069" width="8.85546875" style="217"/>
    <col min="2070" max="2070" width="11" style="217" customWidth="1"/>
    <col min="2071" max="2304" width="8.85546875" style="217"/>
    <col min="2305" max="2305" width="0.85546875" style="217" customWidth="1"/>
    <col min="2306" max="2306" width="12.85546875" style="217" customWidth="1"/>
    <col min="2307" max="2307" width="12" style="217" bestFit="1" customWidth="1"/>
    <col min="2308" max="2308" width="10" style="217" bestFit="1" customWidth="1"/>
    <col min="2309" max="2309" width="16.28515625" style="217" bestFit="1" customWidth="1"/>
    <col min="2310" max="2310" width="8.28515625" style="217" customWidth="1"/>
    <col min="2311" max="2311" width="6.7109375" style="217" bestFit="1" customWidth="1"/>
    <col min="2312" max="2312" width="1" style="217" customWidth="1"/>
    <col min="2313" max="2313" width="18.140625" style="217" customWidth="1"/>
    <col min="2314" max="2317" width="11" style="217" customWidth="1"/>
    <col min="2318" max="2318" width="4.28515625" style="217" customWidth="1"/>
    <col min="2319" max="2319" width="8.85546875" style="217"/>
    <col min="2320" max="2320" width="5.42578125" style="217" customWidth="1"/>
    <col min="2321" max="2321" width="7" style="217" customWidth="1"/>
    <col min="2322" max="2322" width="15.140625" style="217" bestFit="1" customWidth="1"/>
    <col min="2323" max="2323" width="8.85546875" style="217"/>
    <col min="2324" max="2324" width="10.7109375" style="217" customWidth="1"/>
    <col min="2325" max="2325" width="8.85546875" style="217"/>
    <col min="2326" max="2326" width="11" style="217" customWidth="1"/>
    <col min="2327" max="2560" width="8.85546875" style="217"/>
    <col min="2561" max="2561" width="0.85546875" style="217" customWidth="1"/>
    <col min="2562" max="2562" width="12.85546875" style="217" customWidth="1"/>
    <col min="2563" max="2563" width="12" style="217" bestFit="1" customWidth="1"/>
    <col min="2564" max="2564" width="10" style="217" bestFit="1" customWidth="1"/>
    <col min="2565" max="2565" width="16.28515625" style="217" bestFit="1" customWidth="1"/>
    <col min="2566" max="2566" width="8.28515625" style="217" customWidth="1"/>
    <col min="2567" max="2567" width="6.7109375" style="217" bestFit="1" customWidth="1"/>
    <col min="2568" max="2568" width="1" style="217" customWidth="1"/>
    <col min="2569" max="2569" width="18.140625" style="217" customWidth="1"/>
    <col min="2570" max="2573" width="11" style="217" customWidth="1"/>
    <col min="2574" max="2574" width="4.28515625" style="217" customWidth="1"/>
    <col min="2575" max="2575" width="8.85546875" style="217"/>
    <col min="2576" max="2576" width="5.42578125" style="217" customWidth="1"/>
    <col min="2577" max="2577" width="7" style="217" customWidth="1"/>
    <col min="2578" max="2578" width="15.140625" style="217" bestFit="1" customWidth="1"/>
    <col min="2579" max="2579" width="8.85546875" style="217"/>
    <col min="2580" max="2580" width="10.7109375" style="217" customWidth="1"/>
    <col min="2581" max="2581" width="8.85546875" style="217"/>
    <col min="2582" max="2582" width="11" style="217" customWidth="1"/>
    <col min="2583" max="2816" width="8.85546875" style="217"/>
    <col min="2817" max="2817" width="0.85546875" style="217" customWidth="1"/>
    <col min="2818" max="2818" width="12.85546875" style="217" customWidth="1"/>
    <col min="2819" max="2819" width="12" style="217" bestFit="1" customWidth="1"/>
    <col min="2820" max="2820" width="10" style="217" bestFit="1" customWidth="1"/>
    <col min="2821" max="2821" width="16.28515625" style="217" bestFit="1" customWidth="1"/>
    <col min="2822" max="2822" width="8.28515625" style="217" customWidth="1"/>
    <col min="2823" max="2823" width="6.7109375" style="217" bestFit="1" customWidth="1"/>
    <col min="2824" max="2824" width="1" style="217" customWidth="1"/>
    <col min="2825" max="2825" width="18.140625" style="217" customWidth="1"/>
    <col min="2826" max="2829" width="11" style="217" customWidth="1"/>
    <col min="2830" max="2830" width="4.28515625" style="217" customWidth="1"/>
    <col min="2831" max="2831" width="8.85546875" style="217"/>
    <col min="2832" max="2832" width="5.42578125" style="217" customWidth="1"/>
    <col min="2833" max="2833" width="7" style="217" customWidth="1"/>
    <col min="2834" max="2834" width="15.140625" style="217" bestFit="1" customWidth="1"/>
    <col min="2835" max="2835" width="8.85546875" style="217"/>
    <col min="2836" max="2836" width="10.7109375" style="217" customWidth="1"/>
    <col min="2837" max="2837" width="8.85546875" style="217"/>
    <col min="2838" max="2838" width="11" style="217" customWidth="1"/>
    <col min="2839" max="3072" width="8.85546875" style="217"/>
    <col min="3073" max="3073" width="0.85546875" style="217" customWidth="1"/>
    <col min="3074" max="3074" width="12.85546875" style="217" customWidth="1"/>
    <col min="3075" max="3075" width="12" style="217" bestFit="1" customWidth="1"/>
    <col min="3076" max="3076" width="10" style="217" bestFit="1" customWidth="1"/>
    <col min="3077" max="3077" width="16.28515625" style="217" bestFit="1" customWidth="1"/>
    <col min="3078" max="3078" width="8.28515625" style="217" customWidth="1"/>
    <col min="3079" max="3079" width="6.7109375" style="217" bestFit="1" customWidth="1"/>
    <col min="3080" max="3080" width="1" style="217" customWidth="1"/>
    <col min="3081" max="3081" width="18.140625" style="217" customWidth="1"/>
    <col min="3082" max="3085" width="11" style="217" customWidth="1"/>
    <col min="3086" max="3086" width="4.28515625" style="217" customWidth="1"/>
    <col min="3087" max="3087" width="8.85546875" style="217"/>
    <col min="3088" max="3088" width="5.42578125" style="217" customWidth="1"/>
    <col min="3089" max="3089" width="7" style="217" customWidth="1"/>
    <col min="3090" max="3090" width="15.140625" style="217" bestFit="1" customWidth="1"/>
    <col min="3091" max="3091" width="8.85546875" style="217"/>
    <col min="3092" max="3092" width="10.7109375" style="217" customWidth="1"/>
    <col min="3093" max="3093" width="8.85546875" style="217"/>
    <col min="3094" max="3094" width="11" style="217" customWidth="1"/>
    <col min="3095" max="3328" width="8.85546875" style="217"/>
    <col min="3329" max="3329" width="0.85546875" style="217" customWidth="1"/>
    <col min="3330" max="3330" width="12.85546875" style="217" customWidth="1"/>
    <col min="3331" max="3331" width="12" style="217" bestFit="1" customWidth="1"/>
    <col min="3332" max="3332" width="10" style="217" bestFit="1" customWidth="1"/>
    <col min="3333" max="3333" width="16.28515625" style="217" bestFit="1" customWidth="1"/>
    <col min="3334" max="3334" width="8.28515625" style="217" customWidth="1"/>
    <col min="3335" max="3335" width="6.7109375" style="217" bestFit="1" customWidth="1"/>
    <col min="3336" max="3336" width="1" style="217" customWidth="1"/>
    <col min="3337" max="3337" width="18.140625" style="217" customWidth="1"/>
    <col min="3338" max="3341" width="11" style="217" customWidth="1"/>
    <col min="3342" max="3342" width="4.28515625" style="217" customWidth="1"/>
    <col min="3343" max="3343" width="8.85546875" style="217"/>
    <col min="3344" max="3344" width="5.42578125" style="217" customWidth="1"/>
    <col min="3345" max="3345" width="7" style="217" customWidth="1"/>
    <col min="3346" max="3346" width="15.140625" style="217" bestFit="1" customWidth="1"/>
    <col min="3347" max="3347" width="8.85546875" style="217"/>
    <col min="3348" max="3348" width="10.7109375" style="217" customWidth="1"/>
    <col min="3349" max="3349" width="8.85546875" style="217"/>
    <col min="3350" max="3350" width="11" style="217" customWidth="1"/>
    <col min="3351" max="3584" width="8.85546875" style="217"/>
    <col min="3585" max="3585" width="0.85546875" style="217" customWidth="1"/>
    <col min="3586" max="3586" width="12.85546875" style="217" customWidth="1"/>
    <col min="3587" max="3587" width="12" style="217" bestFit="1" customWidth="1"/>
    <col min="3588" max="3588" width="10" style="217" bestFit="1" customWidth="1"/>
    <col min="3589" max="3589" width="16.28515625" style="217" bestFit="1" customWidth="1"/>
    <col min="3590" max="3590" width="8.28515625" style="217" customWidth="1"/>
    <col min="3591" max="3591" width="6.7109375" style="217" bestFit="1" customWidth="1"/>
    <col min="3592" max="3592" width="1" style="217" customWidth="1"/>
    <col min="3593" max="3593" width="18.140625" style="217" customWidth="1"/>
    <col min="3594" max="3597" width="11" style="217" customWidth="1"/>
    <col min="3598" max="3598" width="4.28515625" style="217" customWidth="1"/>
    <col min="3599" max="3599" width="8.85546875" style="217"/>
    <col min="3600" max="3600" width="5.42578125" style="217" customWidth="1"/>
    <col min="3601" max="3601" width="7" style="217" customWidth="1"/>
    <col min="3602" max="3602" width="15.140625" style="217" bestFit="1" customWidth="1"/>
    <col min="3603" max="3603" width="8.85546875" style="217"/>
    <col min="3604" max="3604" width="10.7109375" style="217" customWidth="1"/>
    <col min="3605" max="3605" width="8.85546875" style="217"/>
    <col min="3606" max="3606" width="11" style="217" customWidth="1"/>
    <col min="3607" max="3840" width="8.85546875" style="217"/>
    <col min="3841" max="3841" width="0.85546875" style="217" customWidth="1"/>
    <col min="3842" max="3842" width="12.85546875" style="217" customWidth="1"/>
    <col min="3843" max="3843" width="12" style="217" bestFit="1" customWidth="1"/>
    <col min="3844" max="3844" width="10" style="217" bestFit="1" customWidth="1"/>
    <col min="3845" max="3845" width="16.28515625" style="217" bestFit="1" customWidth="1"/>
    <col min="3846" max="3846" width="8.28515625" style="217" customWidth="1"/>
    <col min="3847" max="3847" width="6.7109375" style="217" bestFit="1" customWidth="1"/>
    <col min="3848" max="3848" width="1" style="217" customWidth="1"/>
    <col min="3849" max="3849" width="18.140625" style="217" customWidth="1"/>
    <col min="3850" max="3853" width="11" style="217" customWidth="1"/>
    <col min="3854" max="3854" width="4.28515625" style="217" customWidth="1"/>
    <col min="3855" max="3855" width="8.85546875" style="217"/>
    <col min="3856" max="3856" width="5.42578125" style="217" customWidth="1"/>
    <col min="3857" max="3857" width="7" style="217" customWidth="1"/>
    <col min="3858" max="3858" width="15.140625" style="217" bestFit="1" customWidth="1"/>
    <col min="3859" max="3859" width="8.85546875" style="217"/>
    <col min="3860" max="3860" width="10.7109375" style="217" customWidth="1"/>
    <col min="3861" max="3861" width="8.85546875" style="217"/>
    <col min="3862" max="3862" width="11" style="217" customWidth="1"/>
    <col min="3863" max="4096" width="8.85546875" style="217"/>
    <col min="4097" max="4097" width="0.85546875" style="217" customWidth="1"/>
    <col min="4098" max="4098" width="12.85546875" style="217" customWidth="1"/>
    <col min="4099" max="4099" width="12" style="217" bestFit="1" customWidth="1"/>
    <col min="4100" max="4100" width="10" style="217" bestFit="1" customWidth="1"/>
    <col min="4101" max="4101" width="16.28515625" style="217" bestFit="1" customWidth="1"/>
    <col min="4102" max="4102" width="8.28515625" style="217" customWidth="1"/>
    <col min="4103" max="4103" width="6.7109375" style="217" bestFit="1" customWidth="1"/>
    <col min="4104" max="4104" width="1" style="217" customWidth="1"/>
    <col min="4105" max="4105" width="18.140625" style="217" customWidth="1"/>
    <col min="4106" max="4109" width="11" style="217" customWidth="1"/>
    <col min="4110" max="4110" width="4.28515625" style="217" customWidth="1"/>
    <col min="4111" max="4111" width="8.85546875" style="217"/>
    <col min="4112" max="4112" width="5.42578125" style="217" customWidth="1"/>
    <col min="4113" max="4113" width="7" style="217" customWidth="1"/>
    <col min="4114" max="4114" width="15.140625" style="217" bestFit="1" customWidth="1"/>
    <col min="4115" max="4115" width="8.85546875" style="217"/>
    <col min="4116" max="4116" width="10.7109375" style="217" customWidth="1"/>
    <col min="4117" max="4117" width="8.85546875" style="217"/>
    <col min="4118" max="4118" width="11" style="217" customWidth="1"/>
    <col min="4119" max="4352" width="8.85546875" style="217"/>
    <col min="4353" max="4353" width="0.85546875" style="217" customWidth="1"/>
    <col min="4354" max="4354" width="12.85546875" style="217" customWidth="1"/>
    <col min="4355" max="4355" width="12" style="217" bestFit="1" customWidth="1"/>
    <col min="4356" max="4356" width="10" style="217" bestFit="1" customWidth="1"/>
    <col min="4357" max="4357" width="16.28515625" style="217" bestFit="1" customWidth="1"/>
    <col min="4358" max="4358" width="8.28515625" style="217" customWidth="1"/>
    <col min="4359" max="4359" width="6.7109375" style="217" bestFit="1" customWidth="1"/>
    <col min="4360" max="4360" width="1" style="217" customWidth="1"/>
    <col min="4361" max="4361" width="18.140625" style="217" customWidth="1"/>
    <col min="4362" max="4365" width="11" style="217" customWidth="1"/>
    <col min="4366" max="4366" width="4.28515625" style="217" customWidth="1"/>
    <col min="4367" max="4367" width="8.85546875" style="217"/>
    <col min="4368" max="4368" width="5.42578125" style="217" customWidth="1"/>
    <col min="4369" max="4369" width="7" style="217" customWidth="1"/>
    <col min="4370" max="4370" width="15.140625" style="217" bestFit="1" customWidth="1"/>
    <col min="4371" max="4371" width="8.85546875" style="217"/>
    <col min="4372" max="4372" width="10.7109375" style="217" customWidth="1"/>
    <col min="4373" max="4373" width="8.85546875" style="217"/>
    <col min="4374" max="4374" width="11" style="217" customWidth="1"/>
    <col min="4375" max="4608" width="8.85546875" style="217"/>
    <col min="4609" max="4609" width="0.85546875" style="217" customWidth="1"/>
    <col min="4610" max="4610" width="12.85546875" style="217" customWidth="1"/>
    <col min="4611" max="4611" width="12" style="217" bestFit="1" customWidth="1"/>
    <col min="4612" max="4612" width="10" style="217" bestFit="1" customWidth="1"/>
    <col min="4613" max="4613" width="16.28515625" style="217" bestFit="1" customWidth="1"/>
    <col min="4614" max="4614" width="8.28515625" style="217" customWidth="1"/>
    <col min="4615" max="4615" width="6.7109375" style="217" bestFit="1" customWidth="1"/>
    <col min="4616" max="4616" width="1" style="217" customWidth="1"/>
    <col min="4617" max="4617" width="18.140625" style="217" customWidth="1"/>
    <col min="4618" max="4621" width="11" style="217" customWidth="1"/>
    <col min="4622" max="4622" width="4.28515625" style="217" customWidth="1"/>
    <col min="4623" max="4623" width="8.85546875" style="217"/>
    <col min="4624" max="4624" width="5.42578125" style="217" customWidth="1"/>
    <col min="4625" max="4625" width="7" style="217" customWidth="1"/>
    <col min="4626" max="4626" width="15.140625" style="217" bestFit="1" customWidth="1"/>
    <col min="4627" max="4627" width="8.85546875" style="217"/>
    <col min="4628" max="4628" width="10.7109375" style="217" customWidth="1"/>
    <col min="4629" max="4629" width="8.85546875" style="217"/>
    <col min="4630" max="4630" width="11" style="217" customWidth="1"/>
    <col min="4631" max="4864" width="8.85546875" style="217"/>
    <col min="4865" max="4865" width="0.85546875" style="217" customWidth="1"/>
    <col min="4866" max="4866" width="12.85546875" style="217" customWidth="1"/>
    <col min="4867" max="4867" width="12" style="217" bestFit="1" customWidth="1"/>
    <col min="4868" max="4868" width="10" style="217" bestFit="1" customWidth="1"/>
    <col min="4869" max="4869" width="16.28515625" style="217" bestFit="1" customWidth="1"/>
    <col min="4870" max="4870" width="8.28515625" style="217" customWidth="1"/>
    <col min="4871" max="4871" width="6.7109375" style="217" bestFit="1" customWidth="1"/>
    <col min="4872" max="4872" width="1" style="217" customWidth="1"/>
    <col min="4873" max="4873" width="18.140625" style="217" customWidth="1"/>
    <col min="4874" max="4877" width="11" style="217" customWidth="1"/>
    <col min="4878" max="4878" width="4.28515625" style="217" customWidth="1"/>
    <col min="4879" max="4879" width="8.85546875" style="217"/>
    <col min="4880" max="4880" width="5.42578125" style="217" customWidth="1"/>
    <col min="4881" max="4881" width="7" style="217" customWidth="1"/>
    <col min="4882" max="4882" width="15.140625" style="217" bestFit="1" customWidth="1"/>
    <col min="4883" max="4883" width="8.85546875" style="217"/>
    <col min="4884" max="4884" width="10.7109375" style="217" customWidth="1"/>
    <col min="4885" max="4885" width="8.85546875" style="217"/>
    <col min="4886" max="4886" width="11" style="217" customWidth="1"/>
    <col min="4887" max="5120" width="8.85546875" style="217"/>
    <col min="5121" max="5121" width="0.85546875" style="217" customWidth="1"/>
    <col min="5122" max="5122" width="12.85546875" style="217" customWidth="1"/>
    <col min="5123" max="5123" width="12" style="217" bestFit="1" customWidth="1"/>
    <col min="5124" max="5124" width="10" style="217" bestFit="1" customWidth="1"/>
    <col min="5125" max="5125" width="16.28515625" style="217" bestFit="1" customWidth="1"/>
    <col min="5126" max="5126" width="8.28515625" style="217" customWidth="1"/>
    <col min="5127" max="5127" width="6.7109375" style="217" bestFit="1" customWidth="1"/>
    <col min="5128" max="5128" width="1" style="217" customWidth="1"/>
    <col min="5129" max="5129" width="18.140625" style="217" customWidth="1"/>
    <col min="5130" max="5133" width="11" style="217" customWidth="1"/>
    <col min="5134" max="5134" width="4.28515625" style="217" customWidth="1"/>
    <col min="5135" max="5135" width="8.85546875" style="217"/>
    <col min="5136" max="5136" width="5.42578125" style="217" customWidth="1"/>
    <col min="5137" max="5137" width="7" style="217" customWidth="1"/>
    <col min="5138" max="5138" width="15.140625" style="217" bestFit="1" customWidth="1"/>
    <col min="5139" max="5139" width="8.85546875" style="217"/>
    <col min="5140" max="5140" width="10.7109375" style="217" customWidth="1"/>
    <col min="5141" max="5141" width="8.85546875" style="217"/>
    <col min="5142" max="5142" width="11" style="217" customWidth="1"/>
    <col min="5143" max="5376" width="8.85546875" style="217"/>
    <col min="5377" max="5377" width="0.85546875" style="217" customWidth="1"/>
    <col min="5378" max="5378" width="12.85546875" style="217" customWidth="1"/>
    <col min="5379" max="5379" width="12" style="217" bestFit="1" customWidth="1"/>
    <col min="5380" max="5380" width="10" style="217" bestFit="1" customWidth="1"/>
    <col min="5381" max="5381" width="16.28515625" style="217" bestFit="1" customWidth="1"/>
    <col min="5382" max="5382" width="8.28515625" style="217" customWidth="1"/>
    <col min="5383" max="5383" width="6.7109375" style="217" bestFit="1" customWidth="1"/>
    <col min="5384" max="5384" width="1" style="217" customWidth="1"/>
    <col min="5385" max="5385" width="18.140625" style="217" customWidth="1"/>
    <col min="5386" max="5389" width="11" style="217" customWidth="1"/>
    <col min="5390" max="5390" width="4.28515625" style="217" customWidth="1"/>
    <col min="5391" max="5391" width="8.85546875" style="217"/>
    <col min="5392" max="5392" width="5.42578125" style="217" customWidth="1"/>
    <col min="5393" max="5393" width="7" style="217" customWidth="1"/>
    <col min="5394" max="5394" width="15.140625" style="217" bestFit="1" customWidth="1"/>
    <col min="5395" max="5395" width="8.85546875" style="217"/>
    <col min="5396" max="5396" width="10.7109375" style="217" customWidth="1"/>
    <col min="5397" max="5397" width="8.85546875" style="217"/>
    <col min="5398" max="5398" width="11" style="217" customWidth="1"/>
    <col min="5399" max="5632" width="8.85546875" style="217"/>
    <col min="5633" max="5633" width="0.85546875" style="217" customWidth="1"/>
    <col min="5634" max="5634" width="12.85546875" style="217" customWidth="1"/>
    <col min="5635" max="5635" width="12" style="217" bestFit="1" customWidth="1"/>
    <col min="5636" max="5636" width="10" style="217" bestFit="1" customWidth="1"/>
    <col min="5637" max="5637" width="16.28515625" style="217" bestFit="1" customWidth="1"/>
    <col min="5638" max="5638" width="8.28515625" style="217" customWidth="1"/>
    <col min="5639" max="5639" width="6.7109375" style="217" bestFit="1" customWidth="1"/>
    <col min="5640" max="5640" width="1" style="217" customWidth="1"/>
    <col min="5641" max="5641" width="18.140625" style="217" customWidth="1"/>
    <col min="5642" max="5645" width="11" style="217" customWidth="1"/>
    <col min="5646" max="5646" width="4.28515625" style="217" customWidth="1"/>
    <col min="5647" max="5647" width="8.85546875" style="217"/>
    <col min="5648" max="5648" width="5.42578125" style="217" customWidth="1"/>
    <col min="5649" max="5649" width="7" style="217" customWidth="1"/>
    <col min="5650" max="5650" width="15.140625" style="217" bestFit="1" customWidth="1"/>
    <col min="5651" max="5651" width="8.85546875" style="217"/>
    <col min="5652" max="5652" width="10.7109375" style="217" customWidth="1"/>
    <col min="5653" max="5653" width="8.85546875" style="217"/>
    <col min="5654" max="5654" width="11" style="217" customWidth="1"/>
    <col min="5655" max="5888" width="8.85546875" style="217"/>
    <col min="5889" max="5889" width="0.85546875" style="217" customWidth="1"/>
    <col min="5890" max="5890" width="12.85546875" style="217" customWidth="1"/>
    <col min="5891" max="5891" width="12" style="217" bestFit="1" customWidth="1"/>
    <col min="5892" max="5892" width="10" style="217" bestFit="1" customWidth="1"/>
    <col min="5893" max="5893" width="16.28515625" style="217" bestFit="1" customWidth="1"/>
    <col min="5894" max="5894" width="8.28515625" style="217" customWidth="1"/>
    <col min="5895" max="5895" width="6.7109375" style="217" bestFit="1" customWidth="1"/>
    <col min="5896" max="5896" width="1" style="217" customWidth="1"/>
    <col min="5897" max="5897" width="18.140625" style="217" customWidth="1"/>
    <col min="5898" max="5901" width="11" style="217" customWidth="1"/>
    <col min="5902" max="5902" width="4.28515625" style="217" customWidth="1"/>
    <col min="5903" max="5903" width="8.85546875" style="217"/>
    <col min="5904" max="5904" width="5.42578125" style="217" customWidth="1"/>
    <col min="5905" max="5905" width="7" style="217" customWidth="1"/>
    <col min="5906" max="5906" width="15.140625" style="217" bestFit="1" customWidth="1"/>
    <col min="5907" max="5907" width="8.85546875" style="217"/>
    <col min="5908" max="5908" width="10.7109375" style="217" customWidth="1"/>
    <col min="5909" max="5909" width="8.85546875" style="217"/>
    <col min="5910" max="5910" width="11" style="217" customWidth="1"/>
    <col min="5911" max="6144" width="8.85546875" style="217"/>
    <col min="6145" max="6145" width="0.85546875" style="217" customWidth="1"/>
    <col min="6146" max="6146" width="12.85546875" style="217" customWidth="1"/>
    <col min="6147" max="6147" width="12" style="217" bestFit="1" customWidth="1"/>
    <col min="6148" max="6148" width="10" style="217" bestFit="1" customWidth="1"/>
    <col min="6149" max="6149" width="16.28515625" style="217" bestFit="1" customWidth="1"/>
    <col min="6150" max="6150" width="8.28515625" style="217" customWidth="1"/>
    <col min="6151" max="6151" width="6.7109375" style="217" bestFit="1" customWidth="1"/>
    <col min="6152" max="6152" width="1" style="217" customWidth="1"/>
    <col min="6153" max="6153" width="18.140625" style="217" customWidth="1"/>
    <col min="6154" max="6157" width="11" style="217" customWidth="1"/>
    <col min="6158" max="6158" width="4.28515625" style="217" customWidth="1"/>
    <col min="6159" max="6159" width="8.85546875" style="217"/>
    <col min="6160" max="6160" width="5.42578125" style="217" customWidth="1"/>
    <col min="6161" max="6161" width="7" style="217" customWidth="1"/>
    <col min="6162" max="6162" width="15.140625" style="217" bestFit="1" customWidth="1"/>
    <col min="6163" max="6163" width="8.85546875" style="217"/>
    <col min="6164" max="6164" width="10.7109375" style="217" customWidth="1"/>
    <col min="6165" max="6165" width="8.85546875" style="217"/>
    <col min="6166" max="6166" width="11" style="217" customWidth="1"/>
    <col min="6167" max="6400" width="8.85546875" style="217"/>
    <col min="6401" max="6401" width="0.85546875" style="217" customWidth="1"/>
    <col min="6402" max="6402" width="12.85546875" style="217" customWidth="1"/>
    <col min="6403" max="6403" width="12" style="217" bestFit="1" customWidth="1"/>
    <col min="6404" max="6404" width="10" style="217" bestFit="1" customWidth="1"/>
    <col min="6405" max="6405" width="16.28515625" style="217" bestFit="1" customWidth="1"/>
    <col min="6406" max="6406" width="8.28515625" style="217" customWidth="1"/>
    <col min="6407" max="6407" width="6.7109375" style="217" bestFit="1" customWidth="1"/>
    <col min="6408" max="6408" width="1" style="217" customWidth="1"/>
    <col min="6409" max="6409" width="18.140625" style="217" customWidth="1"/>
    <col min="6410" max="6413" width="11" style="217" customWidth="1"/>
    <col min="6414" max="6414" width="4.28515625" style="217" customWidth="1"/>
    <col min="6415" max="6415" width="8.85546875" style="217"/>
    <col min="6416" max="6416" width="5.42578125" style="217" customWidth="1"/>
    <col min="6417" max="6417" width="7" style="217" customWidth="1"/>
    <col min="6418" max="6418" width="15.140625" style="217" bestFit="1" customWidth="1"/>
    <col min="6419" max="6419" width="8.85546875" style="217"/>
    <col min="6420" max="6420" width="10.7109375" style="217" customWidth="1"/>
    <col min="6421" max="6421" width="8.85546875" style="217"/>
    <col min="6422" max="6422" width="11" style="217" customWidth="1"/>
    <col min="6423" max="6656" width="8.85546875" style="217"/>
    <col min="6657" max="6657" width="0.85546875" style="217" customWidth="1"/>
    <col min="6658" max="6658" width="12.85546875" style="217" customWidth="1"/>
    <col min="6659" max="6659" width="12" style="217" bestFit="1" customWidth="1"/>
    <col min="6660" max="6660" width="10" style="217" bestFit="1" customWidth="1"/>
    <col min="6661" max="6661" width="16.28515625" style="217" bestFit="1" customWidth="1"/>
    <col min="6662" max="6662" width="8.28515625" style="217" customWidth="1"/>
    <col min="6663" max="6663" width="6.7109375" style="217" bestFit="1" customWidth="1"/>
    <col min="6664" max="6664" width="1" style="217" customWidth="1"/>
    <col min="6665" max="6665" width="18.140625" style="217" customWidth="1"/>
    <col min="6666" max="6669" width="11" style="217" customWidth="1"/>
    <col min="6670" max="6670" width="4.28515625" style="217" customWidth="1"/>
    <col min="6671" max="6671" width="8.85546875" style="217"/>
    <col min="6672" max="6672" width="5.42578125" style="217" customWidth="1"/>
    <col min="6673" max="6673" width="7" style="217" customWidth="1"/>
    <col min="6674" max="6674" width="15.140625" style="217" bestFit="1" customWidth="1"/>
    <col min="6675" max="6675" width="8.85546875" style="217"/>
    <col min="6676" max="6676" width="10.7109375" style="217" customWidth="1"/>
    <col min="6677" max="6677" width="8.85546875" style="217"/>
    <col min="6678" max="6678" width="11" style="217" customWidth="1"/>
    <col min="6679" max="6912" width="8.85546875" style="217"/>
    <col min="6913" max="6913" width="0.85546875" style="217" customWidth="1"/>
    <col min="6914" max="6914" width="12.85546875" style="217" customWidth="1"/>
    <col min="6915" max="6915" width="12" style="217" bestFit="1" customWidth="1"/>
    <col min="6916" max="6916" width="10" style="217" bestFit="1" customWidth="1"/>
    <col min="6917" max="6917" width="16.28515625" style="217" bestFit="1" customWidth="1"/>
    <col min="6918" max="6918" width="8.28515625" style="217" customWidth="1"/>
    <col min="6919" max="6919" width="6.7109375" style="217" bestFit="1" customWidth="1"/>
    <col min="6920" max="6920" width="1" style="217" customWidth="1"/>
    <col min="6921" max="6921" width="18.140625" style="217" customWidth="1"/>
    <col min="6922" max="6925" width="11" style="217" customWidth="1"/>
    <col min="6926" max="6926" width="4.28515625" style="217" customWidth="1"/>
    <col min="6927" max="6927" width="8.85546875" style="217"/>
    <col min="6928" max="6928" width="5.42578125" style="217" customWidth="1"/>
    <col min="6929" max="6929" width="7" style="217" customWidth="1"/>
    <col min="6930" max="6930" width="15.140625" style="217" bestFit="1" customWidth="1"/>
    <col min="6931" max="6931" width="8.85546875" style="217"/>
    <col min="6932" max="6932" width="10.7109375" style="217" customWidth="1"/>
    <col min="6933" max="6933" width="8.85546875" style="217"/>
    <col min="6934" max="6934" width="11" style="217" customWidth="1"/>
    <col min="6935" max="7168" width="8.85546875" style="217"/>
    <col min="7169" max="7169" width="0.85546875" style="217" customWidth="1"/>
    <col min="7170" max="7170" width="12.85546875" style="217" customWidth="1"/>
    <col min="7171" max="7171" width="12" style="217" bestFit="1" customWidth="1"/>
    <col min="7172" max="7172" width="10" style="217" bestFit="1" customWidth="1"/>
    <col min="7173" max="7173" width="16.28515625" style="217" bestFit="1" customWidth="1"/>
    <col min="7174" max="7174" width="8.28515625" style="217" customWidth="1"/>
    <col min="7175" max="7175" width="6.7109375" style="217" bestFit="1" customWidth="1"/>
    <col min="7176" max="7176" width="1" style="217" customWidth="1"/>
    <col min="7177" max="7177" width="18.140625" style="217" customWidth="1"/>
    <col min="7178" max="7181" width="11" style="217" customWidth="1"/>
    <col min="7182" max="7182" width="4.28515625" style="217" customWidth="1"/>
    <col min="7183" max="7183" width="8.85546875" style="217"/>
    <col min="7184" max="7184" width="5.42578125" style="217" customWidth="1"/>
    <col min="7185" max="7185" width="7" style="217" customWidth="1"/>
    <col min="7186" max="7186" width="15.140625" style="217" bestFit="1" customWidth="1"/>
    <col min="7187" max="7187" width="8.85546875" style="217"/>
    <col min="7188" max="7188" width="10.7109375" style="217" customWidth="1"/>
    <col min="7189" max="7189" width="8.85546875" style="217"/>
    <col min="7190" max="7190" width="11" style="217" customWidth="1"/>
    <col min="7191" max="7424" width="8.85546875" style="217"/>
    <col min="7425" max="7425" width="0.85546875" style="217" customWidth="1"/>
    <col min="7426" max="7426" width="12.85546875" style="217" customWidth="1"/>
    <col min="7427" max="7427" width="12" style="217" bestFit="1" customWidth="1"/>
    <col min="7428" max="7428" width="10" style="217" bestFit="1" customWidth="1"/>
    <col min="7429" max="7429" width="16.28515625" style="217" bestFit="1" customWidth="1"/>
    <col min="7430" max="7430" width="8.28515625" style="217" customWidth="1"/>
    <col min="7431" max="7431" width="6.7109375" style="217" bestFit="1" customWidth="1"/>
    <col min="7432" max="7432" width="1" style="217" customWidth="1"/>
    <col min="7433" max="7433" width="18.140625" style="217" customWidth="1"/>
    <col min="7434" max="7437" width="11" style="217" customWidth="1"/>
    <col min="7438" max="7438" width="4.28515625" style="217" customWidth="1"/>
    <col min="7439" max="7439" width="8.85546875" style="217"/>
    <col min="7440" max="7440" width="5.42578125" style="217" customWidth="1"/>
    <col min="7441" max="7441" width="7" style="217" customWidth="1"/>
    <col min="7442" max="7442" width="15.140625" style="217" bestFit="1" customWidth="1"/>
    <col min="7443" max="7443" width="8.85546875" style="217"/>
    <col min="7444" max="7444" width="10.7109375" style="217" customWidth="1"/>
    <col min="7445" max="7445" width="8.85546875" style="217"/>
    <col min="7446" max="7446" width="11" style="217" customWidth="1"/>
    <col min="7447" max="7680" width="8.85546875" style="217"/>
    <col min="7681" max="7681" width="0.85546875" style="217" customWidth="1"/>
    <col min="7682" max="7682" width="12.85546875" style="217" customWidth="1"/>
    <col min="7683" max="7683" width="12" style="217" bestFit="1" customWidth="1"/>
    <col min="7684" max="7684" width="10" style="217" bestFit="1" customWidth="1"/>
    <col min="7685" max="7685" width="16.28515625" style="217" bestFit="1" customWidth="1"/>
    <col min="7686" max="7686" width="8.28515625" style="217" customWidth="1"/>
    <col min="7687" max="7687" width="6.7109375" style="217" bestFit="1" customWidth="1"/>
    <col min="7688" max="7688" width="1" style="217" customWidth="1"/>
    <col min="7689" max="7689" width="18.140625" style="217" customWidth="1"/>
    <col min="7690" max="7693" width="11" style="217" customWidth="1"/>
    <col min="7694" max="7694" width="4.28515625" style="217" customWidth="1"/>
    <col min="7695" max="7695" width="8.85546875" style="217"/>
    <col min="7696" max="7696" width="5.42578125" style="217" customWidth="1"/>
    <col min="7697" max="7697" width="7" style="217" customWidth="1"/>
    <col min="7698" max="7698" width="15.140625" style="217" bestFit="1" customWidth="1"/>
    <col min="7699" max="7699" width="8.85546875" style="217"/>
    <col min="7700" max="7700" width="10.7109375" style="217" customWidth="1"/>
    <col min="7701" max="7701" width="8.85546875" style="217"/>
    <col min="7702" max="7702" width="11" style="217" customWidth="1"/>
    <col min="7703" max="7936" width="8.85546875" style="217"/>
    <col min="7937" max="7937" width="0.85546875" style="217" customWidth="1"/>
    <col min="7938" max="7938" width="12.85546875" style="217" customWidth="1"/>
    <col min="7939" max="7939" width="12" style="217" bestFit="1" customWidth="1"/>
    <col min="7940" max="7940" width="10" style="217" bestFit="1" customWidth="1"/>
    <col min="7941" max="7941" width="16.28515625" style="217" bestFit="1" customWidth="1"/>
    <col min="7942" max="7942" width="8.28515625" style="217" customWidth="1"/>
    <col min="7943" max="7943" width="6.7109375" style="217" bestFit="1" customWidth="1"/>
    <col min="7944" max="7944" width="1" style="217" customWidth="1"/>
    <col min="7945" max="7945" width="18.140625" style="217" customWidth="1"/>
    <col min="7946" max="7949" width="11" style="217" customWidth="1"/>
    <col min="7950" max="7950" width="4.28515625" style="217" customWidth="1"/>
    <col min="7951" max="7951" width="8.85546875" style="217"/>
    <col min="7952" max="7952" width="5.42578125" style="217" customWidth="1"/>
    <col min="7953" max="7953" width="7" style="217" customWidth="1"/>
    <col min="7954" max="7954" width="15.140625" style="217" bestFit="1" customWidth="1"/>
    <col min="7955" max="7955" width="8.85546875" style="217"/>
    <col min="7956" max="7956" width="10.7109375" style="217" customWidth="1"/>
    <col min="7957" max="7957" width="8.85546875" style="217"/>
    <col min="7958" max="7958" width="11" style="217" customWidth="1"/>
    <col min="7959" max="8192" width="8.85546875" style="217"/>
    <col min="8193" max="8193" width="0.85546875" style="217" customWidth="1"/>
    <col min="8194" max="8194" width="12.85546875" style="217" customWidth="1"/>
    <col min="8195" max="8195" width="12" style="217" bestFit="1" customWidth="1"/>
    <col min="8196" max="8196" width="10" style="217" bestFit="1" customWidth="1"/>
    <col min="8197" max="8197" width="16.28515625" style="217" bestFit="1" customWidth="1"/>
    <col min="8198" max="8198" width="8.28515625" style="217" customWidth="1"/>
    <col min="8199" max="8199" width="6.7109375" style="217" bestFit="1" customWidth="1"/>
    <col min="8200" max="8200" width="1" style="217" customWidth="1"/>
    <col min="8201" max="8201" width="18.140625" style="217" customWidth="1"/>
    <col min="8202" max="8205" width="11" style="217" customWidth="1"/>
    <col min="8206" max="8206" width="4.28515625" style="217" customWidth="1"/>
    <col min="8207" max="8207" width="8.85546875" style="217"/>
    <col min="8208" max="8208" width="5.42578125" style="217" customWidth="1"/>
    <col min="8209" max="8209" width="7" style="217" customWidth="1"/>
    <col min="8210" max="8210" width="15.140625" style="217" bestFit="1" customWidth="1"/>
    <col min="8211" max="8211" width="8.85546875" style="217"/>
    <col min="8212" max="8212" width="10.7109375" style="217" customWidth="1"/>
    <col min="8213" max="8213" width="8.85546875" style="217"/>
    <col min="8214" max="8214" width="11" style="217" customWidth="1"/>
    <col min="8215" max="8448" width="8.85546875" style="217"/>
    <col min="8449" max="8449" width="0.85546875" style="217" customWidth="1"/>
    <col min="8450" max="8450" width="12.85546875" style="217" customWidth="1"/>
    <col min="8451" max="8451" width="12" style="217" bestFit="1" customWidth="1"/>
    <col min="8452" max="8452" width="10" style="217" bestFit="1" customWidth="1"/>
    <col min="8453" max="8453" width="16.28515625" style="217" bestFit="1" customWidth="1"/>
    <col min="8454" max="8454" width="8.28515625" style="217" customWidth="1"/>
    <col min="8455" max="8455" width="6.7109375" style="217" bestFit="1" customWidth="1"/>
    <col min="8456" max="8456" width="1" style="217" customWidth="1"/>
    <col min="8457" max="8457" width="18.140625" style="217" customWidth="1"/>
    <col min="8458" max="8461" width="11" style="217" customWidth="1"/>
    <col min="8462" max="8462" width="4.28515625" style="217" customWidth="1"/>
    <col min="8463" max="8463" width="8.85546875" style="217"/>
    <col min="8464" max="8464" width="5.42578125" style="217" customWidth="1"/>
    <col min="8465" max="8465" width="7" style="217" customWidth="1"/>
    <col min="8466" max="8466" width="15.140625" style="217" bestFit="1" customWidth="1"/>
    <col min="8467" max="8467" width="8.85546875" style="217"/>
    <col min="8468" max="8468" width="10.7109375" style="217" customWidth="1"/>
    <col min="8469" max="8469" width="8.85546875" style="217"/>
    <col min="8470" max="8470" width="11" style="217" customWidth="1"/>
    <col min="8471" max="8704" width="8.85546875" style="217"/>
    <col min="8705" max="8705" width="0.85546875" style="217" customWidth="1"/>
    <col min="8706" max="8706" width="12.85546875" style="217" customWidth="1"/>
    <col min="8707" max="8707" width="12" style="217" bestFit="1" customWidth="1"/>
    <col min="8708" max="8708" width="10" style="217" bestFit="1" customWidth="1"/>
    <col min="8709" max="8709" width="16.28515625" style="217" bestFit="1" customWidth="1"/>
    <col min="8710" max="8710" width="8.28515625" style="217" customWidth="1"/>
    <col min="8711" max="8711" width="6.7109375" style="217" bestFit="1" customWidth="1"/>
    <col min="8712" max="8712" width="1" style="217" customWidth="1"/>
    <col min="8713" max="8713" width="18.140625" style="217" customWidth="1"/>
    <col min="8714" max="8717" width="11" style="217" customWidth="1"/>
    <col min="8718" max="8718" width="4.28515625" style="217" customWidth="1"/>
    <col min="8719" max="8719" width="8.85546875" style="217"/>
    <col min="8720" max="8720" width="5.42578125" style="217" customWidth="1"/>
    <col min="8721" max="8721" width="7" style="217" customWidth="1"/>
    <col min="8722" max="8722" width="15.140625" style="217" bestFit="1" customWidth="1"/>
    <col min="8723" max="8723" width="8.85546875" style="217"/>
    <col min="8724" max="8724" width="10.7109375" style="217" customWidth="1"/>
    <col min="8725" max="8725" width="8.85546875" style="217"/>
    <col min="8726" max="8726" width="11" style="217" customWidth="1"/>
    <col min="8727" max="8960" width="8.85546875" style="217"/>
    <col min="8961" max="8961" width="0.85546875" style="217" customWidth="1"/>
    <col min="8962" max="8962" width="12.85546875" style="217" customWidth="1"/>
    <col min="8963" max="8963" width="12" style="217" bestFit="1" customWidth="1"/>
    <col min="8964" max="8964" width="10" style="217" bestFit="1" customWidth="1"/>
    <col min="8965" max="8965" width="16.28515625" style="217" bestFit="1" customWidth="1"/>
    <col min="8966" max="8966" width="8.28515625" style="217" customWidth="1"/>
    <col min="8967" max="8967" width="6.7109375" style="217" bestFit="1" customWidth="1"/>
    <col min="8968" max="8968" width="1" style="217" customWidth="1"/>
    <col min="8969" max="8969" width="18.140625" style="217" customWidth="1"/>
    <col min="8970" max="8973" width="11" style="217" customWidth="1"/>
    <col min="8974" max="8974" width="4.28515625" style="217" customWidth="1"/>
    <col min="8975" max="8975" width="8.85546875" style="217"/>
    <col min="8976" max="8976" width="5.42578125" style="217" customWidth="1"/>
    <col min="8977" max="8977" width="7" style="217" customWidth="1"/>
    <col min="8978" max="8978" width="15.140625" style="217" bestFit="1" customWidth="1"/>
    <col min="8979" max="8979" width="8.85546875" style="217"/>
    <col min="8980" max="8980" width="10.7109375" style="217" customWidth="1"/>
    <col min="8981" max="8981" width="8.85546875" style="217"/>
    <col min="8982" max="8982" width="11" style="217" customWidth="1"/>
    <col min="8983" max="9216" width="8.85546875" style="217"/>
    <col min="9217" max="9217" width="0.85546875" style="217" customWidth="1"/>
    <col min="9218" max="9218" width="12.85546875" style="217" customWidth="1"/>
    <col min="9219" max="9219" width="12" style="217" bestFit="1" customWidth="1"/>
    <col min="9220" max="9220" width="10" style="217" bestFit="1" customWidth="1"/>
    <col min="9221" max="9221" width="16.28515625" style="217" bestFit="1" customWidth="1"/>
    <col min="9222" max="9222" width="8.28515625" style="217" customWidth="1"/>
    <col min="9223" max="9223" width="6.7109375" style="217" bestFit="1" customWidth="1"/>
    <col min="9224" max="9224" width="1" style="217" customWidth="1"/>
    <col min="9225" max="9225" width="18.140625" style="217" customWidth="1"/>
    <col min="9226" max="9229" width="11" style="217" customWidth="1"/>
    <col min="9230" max="9230" width="4.28515625" style="217" customWidth="1"/>
    <col min="9231" max="9231" width="8.85546875" style="217"/>
    <col min="9232" max="9232" width="5.42578125" style="217" customWidth="1"/>
    <col min="9233" max="9233" width="7" style="217" customWidth="1"/>
    <col min="9234" max="9234" width="15.140625" style="217" bestFit="1" customWidth="1"/>
    <col min="9235" max="9235" width="8.85546875" style="217"/>
    <col min="9236" max="9236" width="10.7109375" style="217" customWidth="1"/>
    <col min="9237" max="9237" width="8.85546875" style="217"/>
    <col min="9238" max="9238" width="11" style="217" customWidth="1"/>
    <col min="9239" max="9472" width="8.85546875" style="217"/>
    <col min="9473" max="9473" width="0.85546875" style="217" customWidth="1"/>
    <col min="9474" max="9474" width="12.85546875" style="217" customWidth="1"/>
    <col min="9475" max="9475" width="12" style="217" bestFit="1" customWidth="1"/>
    <col min="9476" max="9476" width="10" style="217" bestFit="1" customWidth="1"/>
    <col min="9477" max="9477" width="16.28515625" style="217" bestFit="1" customWidth="1"/>
    <col min="9478" max="9478" width="8.28515625" style="217" customWidth="1"/>
    <col min="9479" max="9479" width="6.7109375" style="217" bestFit="1" customWidth="1"/>
    <col min="9480" max="9480" width="1" style="217" customWidth="1"/>
    <col min="9481" max="9481" width="18.140625" style="217" customWidth="1"/>
    <col min="9482" max="9485" width="11" style="217" customWidth="1"/>
    <col min="9486" max="9486" width="4.28515625" style="217" customWidth="1"/>
    <col min="9487" max="9487" width="8.85546875" style="217"/>
    <col min="9488" max="9488" width="5.42578125" style="217" customWidth="1"/>
    <col min="9489" max="9489" width="7" style="217" customWidth="1"/>
    <col min="9490" max="9490" width="15.140625" style="217" bestFit="1" customWidth="1"/>
    <col min="9491" max="9491" width="8.85546875" style="217"/>
    <col min="9492" max="9492" width="10.7109375" style="217" customWidth="1"/>
    <col min="9493" max="9493" width="8.85546875" style="217"/>
    <col min="9494" max="9494" width="11" style="217" customWidth="1"/>
    <col min="9495" max="9728" width="8.85546875" style="217"/>
    <col min="9729" max="9729" width="0.85546875" style="217" customWidth="1"/>
    <col min="9730" max="9730" width="12.85546875" style="217" customWidth="1"/>
    <col min="9731" max="9731" width="12" style="217" bestFit="1" customWidth="1"/>
    <col min="9732" max="9732" width="10" style="217" bestFit="1" customWidth="1"/>
    <col min="9733" max="9733" width="16.28515625" style="217" bestFit="1" customWidth="1"/>
    <col min="9734" max="9734" width="8.28515625" style="217" customWidth="1"/>
    <col min="9735" max="9735" width="6.7109375" style="217" bestFit="1" customWidth="1"/>
    <col min="9736" max="9736" width="1" style="217" customWidth="1"/>
    <col min="9737" max="9737" width="18.140625" style="217" customWidth="1"/>
    <col min="9738" max="9741" width="11" style="217" customWidth="1"/>
    <col min="9742" max="9742" width="4.28515625" style="217" customWidth="1"/>
    <col min="9743" max="9743" width="8.85546875" style="217"/>
    <col min="9744" max="9744" width="5.42578125" style="217" customWidth="1"/>
    <col min="9745" max="9745" width="7" style="217" customWidth="1"/>
    <col min="9746" max="9746" width="15.140625" style="217" bestFit="1" customWidth="1"/>
    <col min="9747" max="9747" width="8.85546875" style="217"/>
    <col min="9748" max="9748" width="10.7109375" style="217" customWidth="1"/>
    <col min="9749" max="9749" width="8.85546875" style="217"/>
    <col min="9750" max="9750" width="11" style="217" customWidth="1"/>
    <col min="9751" max="9984" width="8.85546875" style="217"/>
    <col min="9985" max="9985" width="0.85546875" style="217" customWidth="1"/>
    <col min="9986" max="9986" width="12.85546875" style="217" customWidth="1"/>
    <col min="9987" max="9987" width="12" style="217" bestFit="1" customWidth="1"/>
    <col min="9988" max="9988" width="10" style="217" bestFit="1" customWidth="1"/>
    <col min="9989" max="9989" width="16.28515625" style="217" bestFit="1" customWidth="1"/>
    <col min="9990" max="9990" width="8.28515625" style="217" customWidth="1"/>
    <col min="9991" max="9991" width="6.7109375" style="217" bestFit="1" customWidth="1"/>
    <col min="9992" max="9992" width="1" style="217" customWidth="1"/>
    <col min="9993" max="9993" width="18.140625" style="217" customWidth="1"/>
    <col min="9994" max="9997" width="11" style="217" customWidth="1"/>
    <col min="9998" max="9998" width="4.28515625" style="217" customWidth="1"/>
    <col min="9999" max="9999" width="8.85546875" style="217"/>
    <col min="10000" max="10000" width="5.42578125" style="217" customWidth="1"/>
    <col min="10001" max="10001" width="7" style="217" customWidth="1"/>
    <col min="10002" max="10002" width="15.140625" style="217" bestFit="1" customWidth="1"/>
    <col min="10003" max="10003" width="8.85546875" style="217"/>
    <col min="10004" max="10004" width="10.7109375" style="217" customWidth="1"/>
    <col min="10005" max="10005" width="8.85546875" style="217"/>
    <col min="10006" max="10006" width="11" style="217" customWidth="1"/>
    <col min="10007" max="10240" width="8.85546875" style="217"/>
    <col min="10241" max="10241" width="0.85546875" style="217" customWidth="1"/>
    <col min="10242" max="10242" width="12.85546875" style="217" customWidth="1"/>
    <col min="10243" max="10243" width="12" style="217" bestFit="1" customWidth="1"/>
    <col min="10244" max="10244" width="10" style="217" bestFit="1" customWidth="1"/>
    <col min="10245" max="10245" width="16.28515625" style="217" bestFit="1" customWidth="1"/>
    <col min="10246" max="10246" width="8.28515625" style="217" customWidth="1"/>
    <col min="10247" max="10247" width="6.7109375" style="217" bestFit="1" customWidth="1"/>
    <col min="10248" max="10248" width="1" style="217" customWidth="1"/>
    <col min="10249" max="10249" width="18.140625" style="217" customWidth="1"/>
    <col min="10250" max="10253" width="11" style="217" customWidth="1"/>
    <col min="10254" max="10254" width="4.28515625" style="217" customWidth="1"/>
    <col min="10255" max="10255" width="8.85546875" style="217"/>
    <col min="10256" max="10256" width="5.42578125" style="217" customWidth="1"/>
    <col min="10257" max="10257" width="7" style="217" customWidth="1"/>
    <col min="10258" max="10258" width="15.140625" style="217" bestFit="1" customWidth="1"/>
    <col min="10259" max="10259" width="8.85546875" style="217"/>
    <col min="10260" max="10260" width="10.7109375" style="217" customWidth="1"/>
    <col min="10261" max="10261" width="8.85546875" style="217"/>
    <col min="10262" max="10262" width="11" style="217" customWidth="1"/>
    <col min="10263" max="10496" width="8.85546875" style="217"/>
    <col min="10497" max="10497" width="0.85546875" style="217" customWidth="1"/>
    <col min="10498" max="10498" width="12.85546875" style="217" customWidth="1"/>
    <col min="10499" max="10499" width="12" style="217" bestFit="1" customWidth="1"/>
    <col min="10500" max="10500" width="10" style="217" bestFit="1" customWidth="1"/>
    <col min="10501" max="10501" width="16.28515625" style="217" bestFit="1" customWidth="1"/>
    <col min="10502" max="10502" width="8.28515625" style="217" customWidth="1"/>
    <col min="10503" max="10503" width="6.7109375" style="217" bestFit="1" customWidth="1"/>
    <col min="10504" max="10504" width="1" style="217" customWidth="1"/>
    <col min="10505" max="10505" width="18.140625" style="217" customWidth="1"/>
    <col min="10506" max="10509" width="11" style="217" customWidth="1"/>
    <col min="10510" max="10510" width="4.28515625" style="217" customWidth="1"/>
    <col min="10511" max="10511" width="8.85546875" style="217"/>
    <col min="10512" max="10512" width="5.42578125" style="217" customWidth="1"/>
    <col min="10513" max="10513" width="7" style="217" customWidth="1"/>
    <col min="10514" max="10514" width="15.140625" style="217" bestFit="1" customWidth="1"/>
    <col min="10515" max="10515" width="8.85546875" style="217"/>
    <col min="10516" max="10516" width="10.7109375" style="217" customWidth="1"/>
    <col min="10517" max="10517" width="8.85546875" style="217"/>
    <col min="10518" max="10518" width="11" style="217" customWidth="1"/>
    <col min="10519" max="10752" width="8.85546875" style="217"/>
    <col min="10753" max="10753" width="0.85546875" style="217" customWidth="1"/>
    <col min="10754" max="10754" width="12.85546875" style="217" customWidth="1"/>
    <col min="10755" max="10755" width="12" style="217" bestFit="1" customWidth="1"/>
    <col min="10756" max="10756" width="10" style="217" bestFit="1" customWidth="1"/>
    <col min="10757" max="10757" width="16.28515625" style="217" bestFit="1" customWidth="1"/>
    <col min="10758" max="10758" width="8.28515625" style="217" customWidth="1"/>
    <col min="10759" max="10759" width="6.7109375" style="217" bestFit="1" customWidth="1"/>
    <col min="10760" max="10760" width="1" style="217" customWidth="1"/>
    <col min="10761" max="10761" width="18.140625" style="217" customWidth="1"/>
    <col min="10762" max="10765" width="11" style="217" customWidth="1"/>
    <col min="10766" max="10766" width="4.28515625" style="217" customWidth="1"/>
    <col min="10767" max="10767" width="8.85546875" style="217"/>
    <col min="10768" max="10768" width="5.42578125" style="217" customWidth="1"/>
    <col min="10769" max="10769" width="7" style="217" customWidth="1"/>
    <col min="10770" max="10770" width="15.140625" style="217" bestFit="1" customWidth="1"/>
    <col min="10771" max="10771" width="8.85546875" style="217"/>
    <col min="10772" max="10772" width="10.7109375" style="217" customWidth="1"/>
    <col min="10773" max="10773" width="8.85546875" style="217"/>
    <col min="10774" max="10774" width="11" style="217" customWidth="1"/>
    <col min="10775" max="11008" width="8.85546875" style="217"/>
    <col min="11009" max="11009" width="0.85546875" style="217" customWidth="1"/>
    <col min="11010" max="11010" width="12.85546875" style="217" customWidth="1"/>
    <col min="11011" max="11011" width="12" style="217" bestFit="1" customWidth="1"/>
    <col min="11012" max="11012" width="10" style="217" bestFit="1" customWidth="1"/>
    <col min="11013" max="11013" width="16.28515625" style="217" bestFit="1" customWidth="1"/>
    <col min="11014" max="11014" width="8.28515625" style="217" customWidth="1"/>
    <col min="11015" max="11015" width="6.7109375" style="217" bestFit="1" customWidth="1"/>
    <col min="11016" max="11016" width="1" style="217" customWidth="1"/>
    <col min="11017" max="11017" width="18.140625" style="217" customWidth="1"/>
    <col min="11018" max="11021" width="11" style="217" customWidth="1"/>
    <col min="11022" max="11022" width="4.28515625" style="217" customWidth="1"/>
    <col min="11023" max="11023" width="8.85546875" style="217"/>
    <col min="11024" max="11024" width="5.42578125" style="217" customWidth="1"/>
    <col min="11025" max="11025" width="7" style="217" customWidth="1"/>
    <col min="11026" max="11026" width="15.140625" style="217" bestFit="1" customWidth="1"/>
    <col min="11027" max="11027" width="8.85546875" style="217"/>
    <col min="11028" max="11028" width="10.7109375" style="217" customWidth="1"/>
    <col min="11029" max="11029" width="8.85546875" style="217"/>
    <col min="11030" max="11030" width="11" style="217" customWidth="1"/>
    <col min="11031" max="11264" width="8.85546875" style="217"/>
    <col min="11265" max="11265" width="0.85546875" style="217" customWidth="1"/>
    <col min="11266" max="11266" width="12.85546875" style="217" customWidth="1"/>
    <col min="11267" max="11267" width="12" style="217" bestFit="1" customWidth="1"/>
    <col min="11268" max="11268" width="10" style="217" bestFit="1" customWidth="1"/>
    <col min="11269" max="11269" width="16.28515625" style="217" bestFit="1" customWidth="1"/>
    <col min="11270" max="11270" width="8.28515625" style="217" customWidth="1"/>
    <col min="11271" max="11271" width="6.7109375" style="217" bestFit="1" customWidth="1"/>
    <col min="11272" max="11272" width="1" style="217" customWidth="1"/>
    <col min="11273" max="11273" width="18.140625" style="217" customWidth="1"/>
    <col min="11274" max="11277" width="11" style="217" customWidth="1"/>
    <col min="11278" max="11278" width="4.28515625" style="217" customWidth="1"/>
    <col min="11279" max="11279" width="8.85546875" style="217"/>
    <col min="11280" max="11280" width="5.42578125" style="217" customWidth="1"/>
    <col min="11281" max="11281" width="7" style="217" customWidth="1"/>
    <col min="11282" max="11282" width="15.140625" style="217" bestFit="1" customWidth="1"/>
    <col min="11283" max="11283" width="8.85546875" style="217"/>
    <col min="11284" max="11284" width="10.7109375" style="217" customWidth="1"/>
    <col min="11285" max="11285" width="8.85546875" style="217"/>
    <col min="11286" max="11286" width="11" style="217" customWidth="1"/>
    <col min="11287" max="11520" width="8.85546875" style="217"/>
    <col min="11521" max="11521" width="0.85546875" style="217" customWidth="1"/>
    <col min="11522" max="11522" width="12.85546875" style="217" customWidth="1"/>
    <col min="11523" max="11523" width="12" style="217" bestFit="1" customWidth="1"/>
    <col min="11524" max="11524" width="10" style="217" bestFit="1" customWidth="1"/>
    <col min="11525" max="11525" width="16.28515625" style="217" bestFit="1" customWidth="1"/>
    <col min="11526" max="11526" width="8.28515625" style="217" customWidth="1"/>
    <col min="11527" max="11527" width="6.7109375" style="217" bestFit="1" customWidth="1"/>
    <col min="11528" max="11528" width="1" style="217" customWidth="1"/>
    <col min="11529" max="11529" width="18.140625" style="217" customWidth="1"/>
    <col min="11530" max="11533" width="11" style="217" customWidth="1"/>
    <col min="11534" max="11534" width="4.28515625" style="217" customWidth="1"/>
    <col min="11535" max="11535" width="8.85546875" style="217"/>
    <col min="11536" max="11536" width="5.42578125" style="217" customWidth="1"/>
    <col min="11537" max="11537" width="7" style="217" customWidth="1"/>
    <col min="11538" max="11538" width="15.140625" style="217" bestFit="1" customWidth="1"/>
    <col min="11539" max="11539" width="8.85546875" style="217"/>
    <col min="11540" max="11540" width="10.7109375" style="217" customWidth="1"/>
    <col min="11541" max="11541" width="8.85546875" style="217"/>
    <col min="11542" max="11542" width="11" style="217" customWidth="1"/>
    <col min="11543" max="11776" width="8.85546875" style="217"/>
    <col min="11777" max="11777" width="0.85546875" style="217" customWidth="1"/>
    <col min="11778" max="11778" width="12.85546875" style="217" customWidth="1"/>
    <col min="11779" max="11779" width="12" style="217" bestFit="1" customWidth="1"/>
    <col min="11780" max="11780" width="10" style="217" bestFit="1" customWidth="1"/>
    <col min="11781" max="11781" width="16.28515625" style="217" bestFit="1" customWidth="1"/>
    <col min="11782" max="11782" width="8.28515625" style="217" customWidth="1"/>
    <col min="11783" max="11783" width="6.7109375" style="217" bestFit="1" customWidth="1"/>
    <col min="11784" max="11784" width="1" style="217" customWidth="1"/>
    <col min="11785" max="11785" width="18.140625" style="217" customWidth="1"/>
    <col min="11786" max="11789" width="11" style="217" customWidth="1"/>
    <col min="11790" max="11790" width="4.28515625" style="217" customWidth="1"/>
    <col min="11791" max="11791" width="8.85546875" style="217"/>
    <col min="11792" max="11792" width="5.42578125" style="217" customWidth="1"/>
    <col min="11793" max="11793" width="7" style="217" customWidth="1"/>
    <col min="11794" max="11794" width="15.140625" style="217" bestFit="1" customWidth="1"/>
    <col min="11795" max="11795" width="8.85546875" style="217"/>
    <col min="11796" max="11796" width="10.7109375" style="217" customWidth="1"/>
    <col min="11797" max="11797" width="8.85546875" style="217"/>
    <col min="11798" max="11798" width="11" style="217" customWidth="1"/>
    <col min="11799" max="12032" width="8.85546875" style="217"/>
    <col min="12033" max="12033" width="0.85546875" style="217" customWidth="1"/>
    <col min="12034" max="12034" width="12.85546875" style="217" customWidth="1"/>
    <col min="12035" max="12035" width="12" style="217" bestFit="1" customWidth="1"/>
    <col min="12036" max="12036" width="10" style="217" bestFit="1" customWidth="1"/>
    <col min="12037" max="12037" width="16.28515625" style="217" bestFit="1" customWidth="1"/>
    <col min="12038" max="12038" width="8.28515625" style="217" customWidth="1"/>
    <col min="12039" max="12039" width="6.7109375" style="217" bestFit="1" customWidth="1"/>
    <col min="12040" max="12040" width="1" style="217" customWidth="1"/>
    <col min="12041" max="12041" width="18.140625" style="217" customWidth="1"/>
    <col min="12042" max="12045" width="11" style="217" customWidth="1"/>
    <col min="12046" max="12046" width="4.28515625" style="217" customWidth="1"/>
    <col min="12047" max="12047" width="8.85546875" style="217"/>
    <col min="12048" max="12048" width="5.42578125" style="217" customWidth="1"/>
    <col min="12049" max="12049" width="7" style="217" customWidth="1"/>
    <col min="12050" max="12050" width="15.140625" style="217" bestFit="1" customWidth="1"/>
    <col min="12051" max="12051" width="8.85546875" style="217"/>
    <col min="12052" max="12052" width="10.7109375" style="217" customWidth="1"/>
    <col min="12053" max="12053" width="8.85546875" style="217"/>
    <col min="12054" max="12054" width="11" style="217" customWidth="1"/>
    <col min="12055" max="12288" width="8.85546875" style="217"/>
    <col min="12289" max="12289" width="0.85546875" style="217" customWidth="1"/>
    <col min="12290" max="12290" width="12.85546875" style="217" customWidth="1"/>
    <col min="12291" max="12291" width="12" style="217" bestFit="1" customWidth="1"/>
    <col min="12292" max="12292" width="10" style="217" bestFit="1" customWidth="1"/>
    <col min="12293" max="12293" width="16.28515625" style="217" bestFit="1" customWidth="1"/>
    <col min="12294" max="12294" width="8.28515625" style="217" customWidth="1"/>
    <col min="12295" max="12295" width="6.7109375" style="217" bestFit="1" customWidth="1"/>
    <col min="12296" max="12296" width="1" style="217" customWidth="1"/>
    <col min="12297" max="12297" width="18.140625" style="217" customWidth="1"/>
    <col min="12298" max="12301" width="11" style="217" customWidth="1"/>
    <col min="12302" max="12302" width="4.28515625" style="217" customWidth="1"/>
    <col min="12303" max="12303" width="8.85546875" style="217"/>
    <col min="12304" max="12304" width="5.42578125" style="217" customWidth="1"/>
    <col min="12305" max="12305" width="7" style="217" customWidth="1"/>
    <col min="12306" max="12306" width="15.140625" style="217" bestFit="1" customWidth="1"/>
    <col min="12307" max="12307" width="8.85546875" style="217"/>
    <col min="12308" max="12308" width="10.7109375" style="217" customWidth="1"/>
    <col min="12309" max="12309" width="8.85546875" style="217"/>
    <col min="12310" max="12310" width="11" style="217" customWidth="1"/>
    <col min="12311" max="12544" width="8.85546875" style="217"/>
    <col min="12545" max="12545" width="0.85546875" style="217" customWidth="1"/>
    <col min="12546" max="12546" width="12.85546875" style="217" customWidth="1"/>
    <col min="12547" max="12547" width="12" style="217" bestFit="1" customWidth="1"/>
    <col min="12548" max="12548" width="10" style="217" bestFit="1" customWidth="1"/>
    <col min="12549" max="12549" width="16.28515625" style="217" bestFit="1" customWidth="1"/>
    <col min="12550" max="12550" width="8.28515625" style="217" customWidth="1"/>
    <col min="12551" max="12551" width="6.7109375" style="217" bestFit="1" customWidth="1"/>
    <col min="12552" max="12552" width="1" style="217" customWidth="1"/>
    <col min="12553" max="12553" width="18.140625" style="217" customWidth="1"/>
    <col min="12554" max="12557" width="11" style="217" customWidth="1"/>
    <col min="12558" max="12558" width="4.28515625" style="217" customWidth="1"/>
    <col min="12559" max="12559" width="8.85546875" style="217"/>
    <col min="12560" max="12560" width="5.42578125" style="217" customWidth="1"/>
    <col min="12561" max="12561" width="7" style="217" customWidth="1"/>
    <col min="12562" max="12562" width="15.140625" style="217" bestFit="1" customWidth="1"/>
    <col min="12563" max="12563" width="8.85546875" style="217"/>
    <col min="12564" max="12564" width="10.7109375" style="217" customWidth="1"/>
    <col min="12565" max="12565" width="8.85546875" style="217"/>
    <col min="12566" max="12566" width="11" style="217" customWidth="1"/>
    <col min="12567" max="12800" width="8.85546875" style="217"/>
    <col min="12801" max="12801" width="0.85546875" style="217" customWidth="1"/>
    <col min="12802" max="12802" width="12.85546875" style="217" customWidth="1"/>
    <col min="12803" max="12803" width="12" style="217" bestFit="1" customWidth="1"/>
    <col min="12804" max="12804" width="10" style="217" bestFit="1" customWidth="1"/>
    <col min="12805" max="12805" width="16.28515625" style="217" bestFit="1" customWidth="1"/>
    <col min="12806" max="12806" width="8.28515625" style="217" customWidth="1"/>
    <col min="12807" max="12807" width="6.7109375" style="217" bestFit="1" customWidth="1"/>
    <col min="12808" max="12808" width="1" style="217" customWidth="1"/>
    <col min="12809" max="12809" width="18.140625" style="217" customWidth="1"/>
    <col min="12810" max="12813" width="11" style="217" customWidth="1"/>
    <col min="12814" max="12814" width="4.28515625" style="217" customWidth="1"/>
    <col min="12815" max="12815" width="8.85546875" style="217"/>
    <col min="12816" max="12816" width="5.42578125" style="217" customWidth="1"/>
    <col min="12817" max="12817" width="7" style="217" customWidth="1"/>
    <col min="12818" max="12818" width="15.140625" style="217" bestFit="1" customWidth="1"/>
    <col min="12819" max="12819" width="8.85546875" style="217"/>
    <col min="12820" max="12820" width="10.7109375" style="217" customWidth="1"/>
    <col min="12821" max="12821" width="8.85546875" style="217"/>
    <col min="12822" max="12822" width="11" style="217" customWidth="1"/>
    <col min="12823" max="13056" width="8.85546875" style="217"/>
    <col min="13057" max="13057" width="0.85546875" style="217" customWidth="1"/>
    <col min="13058" max="13058" width="12.85546875" style="217" customWidth="1"/>
    <col min="13059" max="13059" width="12" style="217" bestFit="1" customWidth="1"/>
    <col min="13060" max="13060" width="10" style="217" bestFit="1" customWidth="1"/>
    <col min="13061" max="13061" width="16.28515625" style="217" bestFit="1" customWidth="1"/>
    <col min="13062" max="13062" width="8.28515625" style="217" customWidth="1"/>
    <col min="13063" max="13063" width="6.7109375" style="217" bestFit="1" customWidth="1"/>
    <col min="13064" max="13064" width="1" style="217" customWidth="1"/>
    <col min="13065" max="13065" width="18.140625" style="217" customWidth="1"/>
    <col min="13066" max="13069" width="11" style="217" customWidth="1"/>
    <col min="13070" max="13070" width="4.28515625" style="217" customWidth="1"/>
    <col min="13071" max="13071" width="8.85546875" style="217"/>
    <col min="13072" max="13072" width="5.42578125" style="217" customWidth="1"/>
    <col min="13073" max="13073" width="7" style="217" customWidth="1"/>
    <col min="13074" max="13074" width="15.140625" style="217" bestFit="1" customWidth="1"/>
    <col min="13075" max="13075" width="8.85546875" style="217"/>
    <col min="13076" max="13076" width="10.7109375" style="217" customWidth="1"/>
    <col min="13077" max="13077" width="8.85546875" style="217"/>
    <col min="13078" max="13078" width="11" style="217" customWidth="1"/>
    <col min="13079" max="13312" width="8.85546875" style="217"/>
    <col min="13313" max="13313" width="0.85546875" style="217" customWidth="1"/>
    <col min="13314" max="13314" width="12.85546875" style="217" customWidth="1"/>
    <col min="13315" max="13315" width="12" style="217" bestFit="1" customWidth="1"/>
    <col min="13316" max="13316" width="10" style="217" bestFit="1" customWidth="1"/>
    <col min="13317" max="13317" width="16.28515625" style="217" bestFit="1" customWidth="1"/>
    <col min="13318" max="13318" width="8.28515625" style="217" customWidth="1"/>
    <col min="13319" max="13319" width="6.7109375" style="217" bestFit="1" customWidth="1"/>
    <col min="13320" max="13320" width="1" style="217" customWidth="1"/>
    <col min="13321" max="13321" width="18.140625" style="217" customWidth="1"/>
    <col min="13322" max="13325" width="11" style="217" customWidth="1"/>
    <col min="13326" max="13326" width="4.28515625" style="217" customWidth="1"/>
    <col min="13327" max="13327" width="8.85546875" style="217"/>
    <col min="13328" max="13328" width="5.42578125" style="217" customWidth="1"/>
    <col min="13329" max="13329" width="7" style="217" customWidth="1"/>
    <col min="13330" max="13330" width="15.140625" style="217" bestFit="1" customWidth="1"/>
    <col min="13331" max="13331" width="8.85546875" style="217"/>
    <col min="13332" max="13332" width="10.7109375" style="217" customWidth="1"/>
    <col min="13333" max="13333" width="8.85546875" style="217"/>
    <col min="13334" max="13334" width="11" style="217" customWidth="1"/>
    <col min="13335" max="13568" width="8.85546875" style="217"/>
    <col min="13569" max="13569" width="0.85546875" style="217" customWidth="1"/>
    <col min="13570" max="13570" width="12.85546875" style="217" customWidth="1"/>
    <col min="13571" max="13571" width="12" style="217" bestFit="1" customWidth="1"/>
    <col min="13572" max="13572" width="10" style="217" bestFit="1" customWidth="1"/>
    <col min="13573" max="13573" width="16.28515625" style="217" bestFit="1" customWidth="1"/>
    <col min="13574" max="13574" width="8.28515625" style="217" customWidth="1"/>
    <col min="13575" max="13575" width="6.7109375" style="217" bestFit="1" customWidth="1"/>
    <col min="13576" max="13576" width="1" style="217" customWidth="1"/>
    <col min="13577" max="13577" width="18.140625" style="217" customWidth="1"/>
    <col min="13578" max="13581" width="11" style="217" customWidth="1"/>
    <col min="13582" max="13582" width="4.28515625" style="217" customWidth="1"/>
    <col min="13583" max="13583" width="8.85546875" style="217"/>
    <col min="13584" max="13584" width="5.42578125" style="217" customWidth="1"/>
    <col min="13585" max="13585" width="7" style="217" customWidth="1"/>
    <col min="13586" max="13586" width="15.140625" style="217" bestFit="1" customWidth="1"/>
    <col min="13587" max="13587" width="8.85546875" style="217"/>
    <col min="13588" max="13588" width="10.7109375" style="217" customWidth="1"/>
    <col min="13589" max="13589" width="8.85546875" style="217"/>
    <col min="13590" max="13590" width="11" style="217" customWidth="1"/>
    <col min="13591" max="13824" width="8.85546875" style="217"/>
    <col min="13825" max="13825" width="0.85546875" style="217" customWidth="1"/>
    <col min="13826" max="13826" width="12.85546875" style="217" customWidth="1"/>
    <col min="13827" max="13827" width="12" style="217" bestFit="1" customWidth="1"/>
    <col min="13828" max="13828" width="10" style="217" bestFit="1" customWidth="1"/>
    <col min="13829" max="13829" width="16.28515625" style="217" bestFit="1" customWidth="1"/>
    <col min="13830" max="13830" width="8.28515625" style="217" customWidth="1"/>
    <col min="13831" max="13831" width="6.7109375" style="217" bestFit="1" customWidth="1"/>
    <col min="13832" max="13832" width="1" style="217" customWidth="1"/>
    <col min="13833" max="13833" width="18.140625" style="217" customWidth="1"/>
    <col min="13834" max="13837" width="11" style="217" customWidth="1"/>
    <col min="13838" max="13838" width="4.28515625" style="217" customWidth="1"/>
    <col min="13839" max="13839" width="8.85546875" style="217"/>
    <col min="13840" max="13840" width="5.42578125" style="217" customWidth="1"/>
    <col min="13841" max="13841" width="7" style="217" customWidth="1"/>
    <col min="13842" max="13842" width="15.140625" style="217" bestFit="1" customWidth="1"/>
    <col min="13843" max="13843" width="8.85546875" style="217"/>
    <col min="13844" max="13844" width="10.7109375" style="217" customWidth="1"/>
    <col min="13845" max="13845" width="8.85546875" style="217"/>
    <col min="13846" max="13846" width="11" style="217" customWidth="1"/>
    <col min="13847" max="14080" width="8.85546875" style="217"/>
    <col min="14081" max="14081" width="0.85546875" style="217" customWidth="1"/>
    <col min="14082" max="14082" width="12.85546875" style="217" customWidth="1"/>
    <col min="14083" max="14083" width="12" style="217" bestFit="1" customWidth="1"/>
    <col min="14084" max="14084" width="10" style="217" bestFit="1" customWidth="1"/>
    <col min="14085" max="14085" width="16.28515625" style="217" bestFit="1" customWidth="1"/>
    <col min="14086" max="14086" width="8.28515625" style="217" customWidth="1"/>
    <col min="14087" max="14087" width="6.7109375" style="217" bestFit="1" customWidth="1"/>
    <col min="14088" max="14088" width="1" style="217" customWidth="1"/>
    <col min="14089" max="14089" width="18.140625" style="217" customWidth="1"/>
    <col min="14090" max="14093" width="11" style="217" customWidth="1"/>
    <col min="14094" max="14094" width="4.28515625" style="217" customWidth="1"/>
    <col min="14095" max="14095" width="8.85546875" style="217"/>
    <col min="14096" max="14096" width="5.42578125" style="217" customWidth="1"/>
    <col min="14097" max="14097" width="7" style="217" customWidth="1"/>
    <col min="14098" max="14098" width="15.140625" style="217" bestFit="1" customWidth="1"/>
    <col min="14099" max="14099" width="8.85546875" style="217"/>
    <col min="14100" max="14100" width="10.7109375" style="217" customWidth="1"/>
    <col min="14101" max="14101" width="8.85546875" style="217"/>
    <col min="14102" max="14102" width="11" style="217" customWidth="1"/>
    <col min="14103" max="14336" width="8.85546875" style="217"/>
    <col min="14337" max="14337" width="0.85546875" style="217" customWidth="1"/>
    <col min="14338" max="14338" width="12.85546875" style="217" customWidth="1"/>
    <col min="14339" max="14339" width="12" style="217" bestFit="1" customWidth="1"/>
    <col min="14340" max="14340" width="10" style="217" bestFit="1" customWidth="1"/>
    <col min="14341" max="14341" width="16.28515625" style="217" bestFit="1" customWidth="1"/>
    <col min="14342" max="14342" width="8.28515625" style="217" customWidth="1"/>
    <col min="14343" max="14343" width="6.7109375" style="217" bestFit="1" customWidth="1"/>
    <col min="14344" max="14344" width="1" style="217" customWidth="1"/>
    <col min="14345" max="14345" width="18.140625" style="217" customWidth="1"/>
    <col min="14346" max="14349" width="11" style="217" customWidth="1"/>
    <col min="14350" max="14350" width="4.28515625" style="217" customWidth="1"/>
    <col min="14351" max="14351" width="8.85546875" style="217"/>
    <col min="14352" max="14352" width="5.42578125" style="217" customWidth="1"/>
    <col min="14353" max="14353" width="7" style="217" customWidth="1"/>
    <col min="14354" max="14354" width="15.140625" style="217" bestFit="1" customWidth="1"/>
    <col min="14355" max="14355" width="8.85546875" style="217"/>
    <col min="14356" max="14356" width="10.7109375" style="217" customWidth="1"/>
    <col min="14357" max="14357" width="8.85546875" style="217"/>
    <col min="14358" max="14358" width="11" style="217" customWidth="1"/>
    <col min="14359" max="14592" width="8.85546875" style="217"/>
    <col min="14593" max="14593" width="0.85546875" style="217" customWidth="1"/>
    <col min="14594" max="14594" width="12.85546875" style="217" customWidth="1"/>
    <col min="14595" max="14595" width="12" style="217" bestFit="1" customWidth="1"/>
    <col min="14596" max="14596" width="10" style="217" bestFit="1" customWidth="1"/>
    <col min="14597" max="14597" width="16.28515625" style="217" bestFit="1" customWidth="1"/>
    <col min="14598" max="14598" width="8.28515625" style="217" customWidth="1"/>
    <col min="14599" max="14599" width="6.7109375" style="217" bestFit="1" customWidth="1"/>
    <col min="14600" max="14600" width="1" style="217" customWidth="1"/>
    <col min="14601" max="14601" width="18.140625" style="217" customWidth="1"/>
    <col min="14602" max="14605" width="11" style="217" customWidth="1"/>
    <col min="14606" max="14606" width="4.28515625" style="217" customWidth="1"/>
    <col min="14607" max="14607" width="8.85546875" style="217"/>
    <col min="14608" max="14608" width="5.42578125" style="217" customWidth="1"/>
    <col min="14609" max="14609" width="7" style="217" customWidth="1"/>
    <col min="14610" max="14610" width="15.140625" style="217" bestFit="1" customWidth="1"/>
    <col min="14611" max="14611" width="8.85546875" style="217"/>
    <col min="14612" max="14612" width="10.7109375" style="217" customWidth="1"/>
    <col min="14613" max="14613" width="8.85546875" style="217"/>
    <col min="14614" max="14614" width="11" style="217" customWidth="1"/>
    <col min="14615" max="14848" width="8.85546875" style="217"/>
    <col min="14849" max="14849" width="0.85546875" style="217" customWidth="1"/>
    <col min="14850" max="14850" width="12.85546875" style="217" customWidth="1"/>
    <col min="14851" max="14851" width="12" style="217" bestFit="1" customWidth="1"/>
    <col min="14852" max="14852" width="10" style="217" bestFit="1" customWidth="1"/>
    <col min="14853" max="14853" width="16.28515625" style="217" bestFit="1" customWidth="1"/>
    <col min="14854" max="14854" width="8.28515625" style="217" customWidth="1"/>
    <col min="14855" max="14855" width="6.7109375" style="217" bestFit="1" customWidth="1"/>
    <col min="14856" max="14856" width="1" style="217" customWidth="1"/>
    <col min="14857" max="14857" width="18.140625" style="217" customWidth="1"/>
    <col min="14858" max="14861" width="11" style="217" customWidth="1"/>
    <col min="14862" max="14862" width="4.28515625" style="217" customWidth="1"/>
    <col min="14863" max="14863" width="8.85546875" style="217"/>
    <col min="14864" max="14864" width="5.42578125" style="217" customWidth="1"/>
    <col min="14865" max="14865" width="7" style="217" customWidth="1"/>
    <col min="14866" max="14866" width="15.140625" style="217" bestFit="1" customWidth="1"/>
    <col min="14867" max="14867" width="8.85546875" style="217"/>
    <col min="14868" max="14868" width="10.7109375" style="217" customWidth="1"/>
    <col min="14869" max="14869" width="8.85546875" style="217"/>
    <col min="14870" max="14870" width="11" style="217" customWidth="1"/>
    <col min="14871" max="15104" width="8.85546875" style="217"/>
    <col min="15105" max="15105" width="0.85546875" style="217" customWidth="1"/>
    <col min="15106" max="15106" width="12.85546875" style="217" customWidth="1"/>
    <col min="15107" max="15107" width="12" style="217" bestFit="1" customWidth="1"/>
    <col min="15108" max="15108" width="10" style="217" bestFit="1" customWidth="1"/>
    <col min="15109" max="15109" width="16.28515625" style="217" bestFit="1" customWidth="1"/>
    <col min="15110" max="15110" width="8.28515625" style="217" customWidth="1"/>
    <col min="15111" max="15111" width="6.7109375" style="217" bestFit="1" customWidth="1"/>
    <col min="15112" max="15112" width="1" style="217" customWidth="1"/>
    <col min="15113" max="15113" width="18.140625" style="217" customWidth="1"/>
    <col min="15114" max="15117" width="11" style="217" customWidth="1"/>
    <col min="15118" max="15118" width="4.28515625" style="217" customWidth="1"/>
    <col min="15119" max="15119" width="8.85546875" style="217"/>
    <col min="15120" max="15120" width="5.42578125" style="217" customWidth="1"/>
    <col min="15121" max="15121" width="7" style="217" customWidth="1"/>
    <col min="15122" max="15122" width="15.140625" style="217" bestFit="1" customWidth="1"/>
    <col min="15123" max="15123" width="8.85546875" style="217"/>
    <col min="15124" max="15124" width="10.7109375" style="217" customWidth="1"/>
    <col min="15125" max="15125" width="8.85546875" style="217"/>
    <col min="15126" max="15126" width="11" style="217" customWidth="1"/>
    <col min="15127" max="15360" width="8.85546875" style="217"/>
    <col min="15361" max="15361" width="0.85546875" style="217" customWidth="1"/>
    <col min="15362" max="15362" width="12.85546875" style="217" customWidth="1"/>
    <col min="15363" max="15363" width="12" style="217" bestFit="1" customWidth="1"/>
    <col min="15364" max="15364" width="10" style="217" bestFit="1" customWidth="1"/>
    <col min="15365" max="15365" width="16.28515625" style="217" bestFit="1" customWidth="1"/>
    <col min="15366" max="15366" width="8.28515625" style="217" customWidth="1"/>
    <col min="15367" max="15367" width="6.7109375" style="217" bestFit="1" customWidth="1"/>
    <col min="15368" max="15368" width="1" style="217" customWidth="1"/>
    <col min="15369" max="15369" width="18.140625" style="217" customWidth="1"/>
    <col min="15370" max="15373" width="11" style="217" customWidth="1"/>
    <col min="15374" max="15374" width="4.28515625" style="217" customWidth="1"/>
    <col min="15375" max="15375" width="8.85546875" style="217"/>
    <col min="15376" max="15376" width="5.42578125" style="217" customWidth="1"/>
    <col min="15377" max="15377" width="7" style="217" customWidth="1"/>
    <col min="15378" max="15378" width="15.140625" style="217" bestFit="1" customWidth="1"/>
    <col min="15379" max="15379" width="8.85546875" style="217"/>
    <col min="15380" max="15380" width="10.7109375" style="217" customWidth="1"/>
    <col min="15381" max="15381" width="8.85546875" style="217"/>
    <col min="15382" max="15382" width="11" style="217" customWidth="1"/>
    <col min="15383" max="15616" width="8.85546875" style="217"/>
    <col min="15617" max="15617" width="0.85546875" style="217" customWidth="1"/>
    <col min="15618" max="15618" width="12.85546875" style="217" customWidth="1"/>
    <col min="15619" max="15619" width="12" style="217" bestFit="1" customWidth="1"/>
    <col min="15620" max="15620" width="10" style="217" bestFit="1" customWidth="1"/>
    <col min="15621" max="15621" width="16.28515625" style="217" bestFit="1" customWidth="1"/>
    <col min="15622" max="15622" width="8.28515625" style="217" customWidth="1"/>
    <col min="15623" max="15623" width="6.7109375" style="217" bestFit="1" customWidth="1"/>
    <col min="15624" max="15624" width="1" style="217" customWidth="1"/>
    <col min="15625" max="15625" width="18.140625" style="217" customWidth="1"/>
    <col min="15626" max="15629" width="11" style="217" customWidth="1"/>
    <col min="15630" max="15630" width="4.28515625" style="217" customWidth="1"/>
    <col min="15631" max="15631" width="8.85546875" style="217"/>
    <col min="15632" max="15632" width="5.42578125" style="217" customWidth="1"/>
    <col min="15633" max="15633" width="7" style="217" customWidth="1"/>
    <col min="15634" max="15634" width="15.140625" style="217" bestFit="1" customWidth="1"/>
    <col min="15635" max="15635" width="8.85546875" style="217"/>
    <col min="15636" max="15636" width="10.7109375" style="217" customWidth="1"/>
    <col min="15637" max="15637" width="8.85546875" style="217"/>
    <col min="15638" max="15638" width="11" style="217" customWidth="1"/>
    <col min="15639" max="15872" width="8.85546875" style="217"/>
    <col min="15873" max="15873" width="0.85546875" style="217" customWidth="1"/>
    <col min="15874" max="15874" width="12.85546875" style="217" customWidth="1"/>
    <col min="15875" max="15875" width="12" style="217" bestFit="1" customWidth="1"/>
    <col min="15876" max="15876" width="10" style="217" bestFit="1" customWidth="1"/>
    <col min="15877" max="15877" width="16.28515625" style="217" bestFit="1" customWidth="1"/>
    <col min="15878" max="15878" width="8.28515625" style="217" customWidth="1"/>
    <col min="15879" max="15879" width="6.7109375" style="217" bestFit="1" customWidth="1"/>
    <col min="15880" max="15880" width="1" style="217" customWidth="1"/>
    <col min="15881" max="15881" width="18.140625" style="217" customWidth="1"/>
    <col min="15882" max="15885" width="11" style="217" customWidth="1"/>
    <col min="15886" max="15886" width="4.28515625" style="217" customWidth="1"/>
    <col min="15887" max="15887" width="8.85546875" style="217"/>
    <col min="15888" max="15888" width="5.42578125" style="217" customWidth="1"/>
    <col min="15889" max="15889" width="7" style="217" customWidth="1"/>
    <col min="15890" max="15890" width="15.140625" style="217" bestFit="1" customWidth="1"/>
    <col min="15891" max="15891" width="8.85546875" style="217"/>
    <col min="15892" max="15892" width="10.7109375" style="217" customWidth="1"/>
    <col min="15893" max="15893" width="8.85546875" style="217"/>
    <col min="15894" max="15894" width="11" style="217" customWidth="1"/>
    <col min="15895" max="16128" width="8.85546875" style="217"/>
    <col min="16129" max="16129" width="0.85546875" style="217" customWidth="1"/>
    <col min="16130" max="16130" width="12.85546875" style="217" customWidth="1"/>
    <col min="16131" max="16131" width="12" style="217" bestFit="1" customWidth="1"/>
    <col min="16132" max="16132" width="10" style="217" bestFit="1" customWidth="1"/>
    <col min="16133" max="16133" width="16.28515625" style="217" bestFit="1" customWidth="1"/>
    <col min="16134" max="16134" width="8.28515625" style="217" customWidth="1"/>
    <col min="16135" max="16135" width="6.7109375" style="217" bestFit="1" customWidth="1"/>
    <col min="16136" max="16136" width="1" style="217" customWidth="1"/>
    <col min="16137" max="16137" width="18.140625" style="217" customWidth="1"/>
    <col min="16138" max="16141" width="11" style="217" customWidth="1"/>
    <col min="16142" max="16142" width="4.28515625" style="217" customWidth="1"/>
    <col min="16143" max="16143" width="8.85546875" style="217"/>
    <col min="16144" max="16144" width="5.42578125" style="217" customWidth="1"/>
    <col min="16145" max="16145" width="7" style="217" customWidth="1"/>
    <col min="16146" max="16146" width="15.140625" style="217" bestFit="1" customWidth="1"/>
    <col min="16147" max="16147" width="8.85546875" style="217"/>
    <col min="16148" max="16148" width="10.7109375" style="217" customWidth="1"/>
    <col min="16149" max="16149" width="8.85546875" style="217"/>
    <col min="16150" max="16150" width="11" style="217" customWidth="1"/>
    <col min="16151" max="16384" width="8.85546875" style="217"/>
  </cols>
  <sheetData>
    <row r="1" spans="2:22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2:22" ht="3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2:22" ht="15.75">
      <c r="B3" s="457" t="s">
        <v>301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</row>
    <row r="4" spans="2:22" ht="5.25" customHeight="1">
      <c r="B4" s="220"/>
      <c r="I4" s="221"/>
    </row>
    <row r="5" spans="2:22" ht="15.75">
      <c r="B5" s="457" t="s">
        <v>134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</row>
    <row r="6" spans="2:22" ht="3" customHeight="1">
      <c r="B6" s="220"/>
      <c r="I6" s="221"/>
    </row>
    <row r="9" spans="2:22"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R9" s="223" t="s">
        <v>135</v>
      </c>
      <c r="S9" s="224" t="s">
        <v>136</v>
      </c>
      <c r="T9" s="225" t="s">
        <v>137</v>
      </c>
      <c r="U9" s="226" t="s">
        <v>138</v>
      </c>
      <c r="V9" s="225" t="s">
        <v>139</v>
      </c>
    </row>
    <row r="10" spans="2:22"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Q10" s="227"/>
      <c r="R10" s="227" t="s">
        <v>140</v>
      </c>
      <c r="S10" s="228" t="s">
        <v>141</v>
      </c>
      <c r="T10" s="229" t="e">
        <f>#REF!</f>
        <v>#REF!</v>
      </c>
      <c r="U10" s="230" t="e">
        <f>ROUND(T10*0.15,2)</f>
        <v>#REF!</v>
      </c>
      <c r="V10" s="230" t="e">
        <f>T10+U10</f>
        <v>#REF!</v>
      </c>
    </row>
    <row r="11" spans="2:22">
      <c r="B11" s="222"/>
      <c r="C11" s="231"/>
      <c r="E11" s="222"/>
      <c r="F11" s="231"/>
      <c r="G11" s="231"/>
      <c r="H11" s="231"/>
      <c r="Q11" s="227"/>
      <c r="R11" s="227" t="s">
        <v>142</v>
      </c>
      <c r="S11" s="228" t="s">
        <v>141</v>
      </c>
      <c r="T11" s="229" t="e">
        <f>#REF!</f>
        <v>#REF!</v>
      </c>
      <c r="U11" s="230" t="e">
        <f>ROUND(T11*0.15,2)</f>
        <v>#REF!</v>
      </c>
      <c r="V11" s="230" t="e">
        <f>T11+U11</f>
        <v>#REF!</v>
      </c>
    </row>
    <row r="12" spans="2:22">
      <c r="B12" s="222"/>
      <c r="C12" s="231"/>
      <c r="E12" s="222"/>
      <c r="F12" s="231"/>
      <c r="G12" s="231"/>
      <c r="H12" s="231"/>
      <c r="Q12" s="227"/>
      <c r="R12" s="227"/>
      <c r="S12" s="228"/>
      <c r="T12" s="229"/>
      <c r="U12" s="230"/>
      <c r="V12" s="230"/>
    </row>
    <row r="13" spans="2:22">
      <c r="G13" s="218"/>
      <c r="H13" s="227"/>
      <c r="I13" s="227"/>
      <c r="J13" s="228"/>
      <c r="K13" s="229"/>
      <c r="L13" s="230"/>
      <c r="M13" s="230"/>
      <c r="P13" s="217"/>
    </row>
    <row r="14" spans="2:22">
      <c r="B14" s="233" t="s">
        <v>143</v>
      </c>
      <c r="C14" s="234" t="s">
        <v>160</v>
      </c>
      <c r="D14" s="222"/>
      <c r="H14" s="227"/>
      <c r="I14" s="227"/>
      <c r="J14" s="228"/>
      <c r="K14" s="229"/>
      <c r="L14" s="230"/>
      <c r="M14" s="230"/>
      <c r="P14" s="217"/>
    </row>
    <row r="15" spans="2:22">
      <c r="B15" s="222"/>
      <c r="C15" s="222"/>
      <c r="D15" s="222"/>
      <c r="H15" s="227"/>
      <c r="I15" s="227"/>
      <c r="J15" s="228"/>
      <c r="K15" s="229"/>
      <c r="L15" s="230"/>
      <c r="M15" s="230"/>
      <c r="P15" s="217"/>
    </row>
    <row r="16" spans="2:22">
      <c r="B16" s="237" t="s">
        <v>144</v>
      </c>
      <c r="C16" s="238">
        <v>225</v>
      </c>
      <c r="D16" s="239" t="s">
        <v>145</v>
      </c>
      <c r="P16" s="217"/>
    </row>
    <row r="17" spans="1:16">
      <c r="B17" s="240" t="s">
        <v>146</v>
      </c>
      <c r="C17" s="241">
        <v>0</v>
      </c>
      <c r="D17" s="242" t="s">
        <v>145</v>
      </c>
      <c r="G17" s="218"/>
      <c r="P17" s="217"/>
    </row>
    <row r="18" spans="1:16" s="243" customFormat="1">
      <c r="B18" s="244" t="s">
        <v>147</v>
      </c>
      <c r="C18" s="245">
        <v>0</v>
      </c>
      <c r="D18" s="246" t="s">
        <v>145</v>
      </c>
      <c r="G18" s="247"/>
    </row>
    <row r="19" spans="1:16" s="243" customFormat="1">
      <c r="B19" s="248"/>
      <c r="C19" s="249"/>
      <c r="D19" s="249"/>
      <c r="E19" s="249"/>
      <c r="F19" s="249"/>
      <c r="G19" s="249"/>
      <c r="H19" s="249"/>
      <c r="I19" s="250"/>
      <c r="P19" s="247"/>
    </row>
    <row r="20" spans="1:16" s="243" customFormat="1">
      <c r="B20" s="248" t="s">
        <v>302</v>
      </c>
      <c r="C20" s="249"/>
      <c r="D20" s="249"/>
      <c r="E20" s="249"/>
      <c r="F20" s="249"/>
      <c r="G20" s="249"/>
      <c r="H20" s="249"/>
      <c r="I20" s="250"/>
      <c r="P20" s="247"/>
    </row>
    <row r="21" spans="1:16" s="243" customFormat="1">
      <c r="B21" s="248"/>
      <c r="C21" s="249"/>
      <c r="D21" s="249"/>
      <c r="E21" s="249"/>
      <c r="F21" s="249"/>
      <c r="G21" s="249"/>
      <c r="H21" s="249"/>
      <c r="I21" s="250"/>
      <c r="P21" s="247"/>
    </row>
    <row r="22" spans="1:16" s="243" customFormat="1">
      <c r="B22" s="248"/>
      <c r="C22" s="249"/>
      <c r="D22" s="249"/>
      <c r="E22" s="249"/>
      <c r="F22" s="249"/>
      <c r="G22" s="249"/>
      <c r="H22" s="249"/>
      <c r="I22" s="250"/>
      <c r="P22" s="247"/>
    </row>
    <row r="23" spans="1:16" s="243" customFormat="1">
      <c r="B23" s="248"/>
      <c r="C23" s="249"/>
      <c r="D23" s="249"/>
      <c r="E23" s="249"/>
      <c r="F23" s="249"/>
      <c r="G23" s="249"/>
      <c r="H23" s="249"/>
      <c r="I23" s="250"/>
      <c r="P23" s="247"/>
    </row>
    <row r="24" spans="1:16" s="243" customFormat="1">
      <c r="B24" s="248"/>
      <c r="C24" s="249"/>
      <c r="D24" s="249"/>
      <c r="E24" s="249"/>
      <c r="F24" s="249"/>
      <c r="G24" s="249"/>
      <c r="H24" s="249"/>
      <c r="I24" s="250"/>
      <c r="P24" s="247"/>
    </row>
    <row r="25" spans="1:16" s="243" customFormat="1">
      <c r="B25" s="248"/>
      <c r="C25" s="249"/>
      <c r="D25" s="249"/>
      <c r="E25" s="249"/>
      <c r="F25" s="249"/>
      <c r="G25" s="249"/>
      <c r="H25" s="249"/>
      <c r="I25" s="250"/>
      <c r="P25" s="247"/>
    </row>
    <row r="26" spans="1:16" s="243" customFormat="1">
      <c r="B26" s="248"/>
      <c r="C26" s="249"/>
      <c r="D26" s="249"/>
      <c r="E26" s="249"/>
      <c r="F26" s="249"/>
      <c r="G26" s="249"/>
      <c r="H26" s="249"/>
      <c r="I26" s="250"/>
      <c r="P26" s="247"/>
    </row>
    <row r="27" spans="1:16" s="243" customFormat="1">
      <c r="B27" s="248"/>
      <c r="C27" s="249"/>
      <c r="D27" s="249"/>
      <c r="E27" s="249"/>
      <c r="F27" s="249"/>
      <c r="G27" s="249"/>
      <c r="H27" s="249"/>
      <c r="I27" s="250"/>
      <c r="P27" s="247"/>
    </row>
    <row r="28" spans="1:16">
      <c r="B28" s="235"/>
      <c r="C28" s="233"/>
      <c r="D28" s="233"/>
      <c r="E28" s="233"/>
      <c r="F28" s="233"/>
      <c r="G28" s="233"/>
      <c r="H28" s="233"/>
      <c r="I28" s="236"/>
    </row>
    <row r="29" spans="1:16">
      <c r="B29" s="235"/>
      <c r="C29" s="233"/>
      <c r="D29" s="233"/>
      <c r="E29" s="233"/>
      <c r="F29" s="233"/>
      <c r="G29" s="233"/>
      <c r="H29" s="233"/>
      <c r="I29" s="236"/>
    </row>
    <row r="30" spans="1:16">
      <c r="B30" s="235"/>
      <c r="C30" s="233"/>
      <c r="D30" s="233"/>
      <c r="E30" s="233"/>
      <c r="F30" s="233"/>
      <c r="G30" s="233"/>
      <c r="H30" s="233"/>
      <c r="J30" s="218"/>
    </row>
    <row r="31" spans="1:16" s="257" customFormat="1">
      <c r="A31" s="251"/>
      <c r="B31" s="252"/>
      <c r="C31" s="253" t="s">
        <v>304</v>
      </c>
      <c r="D31" s="254"/>
      <c r="E31" s="252"/>
      <c r="F31" s="252"/>
      <c r="G31" s="255"/>
      <c r="H31" s="256"/>
      <c r="I31" s="217"/>
      <c r="J31" s="218"/>
      <c r="K31" s="217"/>
      <c r="L31" s="217"/>
      <c r="M31" s="217"/>
      <c r="N31" s="217"/>
    </row>
    <row r="32" spans="1:16" s="256" customFormat="1">
      <c r="A32" s="251"/>
      <c r="B32" s="258"/>
      <c r="C32" s="259"/>
      <c r="D32" s="233"/>
      <c r="E32" s="258"/>
      <c r="F32" s="258"/>
      <c r="G32" s="251"/>
      <c r="I32" s="217"/>
      <c r="J32" s="218"/>
      <c r="K32" s="217"/>
      <c r="L32" s="217"/>
      <c r="M32" s="217"/>
      <c r="N32" s="217"/>
    </row>
    <row r="33" spans="1:16">
      <c r="A33" s="260"/>
      <c r="B33" s="221"/>
      <c r="C33" s="261" t="s">
        <v>148</v>
      </c>
      <c r="D33" s="233" t="s">
        <v>303</v>
      </c>
      <c r="E33" s="221"/>
      <c r="F33" s="221"/>
      <c r="G33" s="260"/>
      <c r="J33" s="218"/>
      <c r="P33" s="217"/>
    </row>
    <row r="34" spans="1:16">
      <c r="A34" s="260"/>
      <c r="B34" s="221"/>
      <c r="C34" s="297" t="s">
        <v>148</v>
      </c>
      <c r="D34" s="401">
        <f>TRUNC(26.939+C16*0.253,2)</f>
        <v>83.86</v>
      </c>
      <c r="E34" s="263"/>
      <c r="F34" s="264"/>
      <c r="G34" s="265"/>
      <c r="H34" s="264"/>
      <c r="J34" s="218"/>
      <c r="P34" s="217"/>
    </row>
    <row r="35" spans="1:16">
      <c r="A35" s="260"/>
      <c r="B35" s="221"/>
      <c r="C35" s="262"/>
      <c r="D35" s="266"/>
      <c r="E35" s="263"/>
      <c r="F35" s="264"/>
      <c r="G35" s="265"/>
      <c r="H35" s="264"/>
      <c r="J35" s="218"/>
      <c r="P35" s="217"/>
    </row>
    <row r="36" spans="1:16">
      <c r="A36" s="260"/>
      <c r="B36" s="221"/>
      <c r="C36" s="267"/>
      <c r="D36" s="266"/>
      <c r="E36" s="263"/>
      <c r="F36" s="264"/>
      <c r="G36" s="265"/>
      <c r="H36" s="264"/>
      <c r="I36" s="221"/>
      <c r="J36" s="276"/>
      <c r="K36" s="276"/>
      <c r="L36" s="276"/>
      <c r="M36" s="276"/>
      <c r="N36" s="221"/>
      <c r="P36" s="217"/>
    </row>
    <row r="37" spans="1:16">
      <c r="A37" s="260"/>
      <c r="B37" s="221"/>
      <c r="D37" s="270"/>
      <c r="E37" s="269"/>
      <c r="F37" s="233"/>
      <c r="G37" s="268"/>
      <c r="H37" s="233"/>
      <c r="I37" s="227"/>
      <c r="J37" s="280"/>
      <c r="K37" s="280"/>
      <c r="L37" s="280"/>
      <c r="M37" s="280"/>
      <c r="N37" s="227"/>
      <c r="P37" s="217"/>
    </row>
    <row r="38" spans="1:16">
      <c r="A38" s="260"/>
      <c r="B38" s="271"/>
      <c r="C38" s="272"/>
      <c r="D38" s="273"/>
      <c r="E38" s="274"/>
      <c r="F38" s="274"/>
      <c r="G38" s="275"/>
      <c r="H38" s="249"/>
      <c r="I38" s="227"/>
      <c r="J38" s="229"/>
      <c r="K38" s="229"/>
      <c r="L38" s="229"/>
      <c r="M38" s="229"/>
      <c r="N38" s="278"/>
      <c r="P38" s="217"/>
    </row>
    <row r="39" spans="1:16">
      <c r="A39" s="221"/>
      <c r="B39" s="248"/>
      <c r="C39" s="276"/>
      <c r="D39" s="277"/>
      <c r="E39" s="249"/>
      <c r="F39" s="249"/>
      <c r="G39" s="249"/>
      <c r="H39" s="249"/>
      <c r="I39" s="282"/>
      <c r="J39" s="282"/>
      <c r="K39" s="282"/>
      <c r="L39" s="282"/>
      <c r="M39" s="282"/>
      <c r="N39" s="282"/>
    </row>
    <row r="40" spans="1:16" s="278" customFormat="1" ht="11.25">
      <c r="A40" s="227"/>
      <c r="F40" s="279"/>
      <c r="G40" s="279"/>
      <c r="H40" s="279"/>
      <c r="I40" s="284"/>
      <c r="P40" s="281"/>
    </row>
    <row r="41" spans="1:16" s="278" customFormat="1" ht="11.25">
      <c r="F41" s="229"/>
      <c r="G41" s="229"/>
      <c r="H41" s="229"/>
      <c r="I41" s="284"/>
      <c r="P41" s="281"/>
    </row>
    <row r="42" spans="1:16" s="282" customFormat="1" ht="12" customHeight="1">
      <c r="E42" s="279"/>
      <c r="F42" s="279"/>
      <c r="G42" s="279"/>
      <c r="H42" s="279"/>
      <c r="I42" s="236"/>
      <c r="J42" s="217"/>
      <c r="K42" s="217"/>
      <c r="L42" s="217"/>
      <c r="M42" s="217"/>
      <c r="N42" s="217"/>
      <c r="P42" s="283"/>
    </row>
    <row r="43" spans="1:16" s="278" customFormat="1">
      <c r="B43" s="227"/>
      <c r="C43" s="229"/>
      <c r="D43" s="229"/>
      <c r="E43" s="229"/>
      <c r="F43" s="229"/>
      <c r="G43" s="229"/>
      <c r="H43" s="229"/>
      <c r="I43" s="236"/>
      <c r="J43" s="217"/>
      <c r="K43" s="217"/>
      <c r="L43" s="217"/>
      <c r="M43" s="217"/>
      <c r="N43" s="217"/>
      <c r="P43" s="281"/>
    </row>
    <row r="44" spans="1:16" s="278" customFormat="1">
      <c r="B44" s="227"/>
      <c r="C44" s="229"/>
      <c r="D44" s="229"/>
      <c r="E44" s="229"/>
      <c r="F44" s="229"/>
      <c r="G44" s="229"/>
      <c r="H44" s="229"/>
      <c r="I44" s="236"/>
      <c r="J44" s="217"/>
      <c r="K44" s="217"/>
      <c r="L44" s="217"/>
      <c r="M44" s="217"/>
      <c r="N44" s="217"/>
      <c r="P44" s="281"/>
    </row>
    <row r="45" spans="1:16">
      <c r="B45" s="235"/>
      <c r="C45" s="233"/>
      <c r="D45" s="233"/>
      <c r="E45" s="233"/>
      <c r="F45" s="233"/>
      <c r="G45" s="233"/>
      <c r="H45" s="233"/>
      <c r="I45" s="236"/>
    </row>
    <row r="46" spans="1:16">
      <c r="B46" s="235"/>
      <c r="C46" s="233"/>
      <c r="D46" s="233"/>
      <c r="E46" s="233"/>
      <c r="F46" s="233"/>
      <c r="G46" s="233"/>
      <c r="H46" s="233"/>
      <c r="I46" s="236"/>
    </row>
    <row r="47" spans="1:16">
      <c r="B47" s="235"/>
      <c r="C47" s="233"/>
      <c r="D47" s="233"/>
      <c r="E47" s="233"/>
      <c r="F47" s="233"/>
      <c r="G47" s="233"/>
      <c r="H47" s="233"/>
      <c r="I47" s="236"/>
      <c r="P47" s="217"/>
    </row>
    <row r="48" spans="1:16">
      <c r="B48" s="235"/>
      <c r="C48" s="233"/>
      <c r="D48" s="233"/>
      <c r="E48" s="233"/>
      <c r="F48" s="233"/>
      <c r="G48" s="233"/>
      <c r="H48" s="233"/>
      <c r="I48" s="236"/>
      <c r="P48" s="217"/>
    </row>
    <row r="49" spans="2:16">
      <c r="B49" s="235"/>
      <c r="C49" s="233"/>
      <c r="D49" s="233"/>
      <c r="E49" s="233"/>
      <c r="F49" s="233"/>
      <c r="G49" s="233"/>
      <c r="H49" s="233"/>
      <c r="I49" s="236"/>
      <c r="P49" s="217"/>
    </row>
    <row r="50" spans="2:16">
      <c r="B50" s="235"/>
      <c r="C50" s="233"/>
      <c r="D50" s="233"/>
      <c r="E50" s="233"/>
      <c r="F50" s="233"/>
      <c r="G50" s="233"/>
      <c r="H50" s="233"/>
      <c r="I50" s="236"/>
      <c r="P50" s="217"/>
    </row>
    <row r="51" spans="2:16">
      <c r="B51" s="235"/>
      <c r="C51" s="233"/>
      <c r="D51" s="233"/>
      <c r="E51" s="233"/>
      <c r="F51" s="233"/>
      <c r="G51" s="233"/>
      <c r="H51" s="233"/>
      <c r="I51" s="236"/>
      <c r="P51" s="217"/>
    </row>
    <row r="52" spans="2:16">
      <c r="B52" s="235"/>
      <c r="C52" s="233"/>
      <c r="D52" s="233"/>
      <c r="E52" s="233"/>
      <c r="F52" s="233"/>
      <c r="G52" s="233"/>
      <c r="H52" s="233"/>
      <c r="I52" s="236"/>
      <c r="P52" s="217"/>
    </row>
    <row r="53" spans="2:16">
      <c r="B53" s="235"/>
      <c r="C53" s="233"/>
      <c r="D53" s="233"/>
      <c r="E53" s="233"/>
      <c r="F53" s="233"/>
      <c r="G53" s="233"/>
      <c r="H53" s="233"/>
      <c r="I53" s="236"/>
      <c r="P53" s="217"/>
    </row>
    <row r="54" spans="2:16">
      <c r="B54" s="235"/>
      <c r="C54" s="233"/>
      <c r="D54" s="233"/>
      <c r="E54" s="233"/>
      <c r="F54" s="233"/>
      <c r="G54" s="233"/>
      <c r="H54" s="233"/>
      <c r="I54" s="236"/>
      <c r="P54" s="217"/>
    </row>
    <row r="55" spans="2:16">
      <c r="B55" s="235"/>
      <c r="C55" s="233"/>
      <c r="D55" s="233"/>
      <c r="E55" s="233"/>
      <c r="F55" s="233"/>
      <c r="G55" s="233"/>
      <c r="H55" s="233"/>
      <c r="I55" s="236"/>
      <c r="P55" s="217"/>
    </row>
    <row r="56" spans="2:16">
      <c r="B56" s="235"/>
      <c r="C56" s="233"/>
      <c r="D56" s="233"/>
      <c r="E56" s="233"/>
      <c r="F56" s="233"/>
      <c r="G56" s="233"/>
      <c r="H56" s="233"/>
      <c r="I56" s="236"/>
      <c r="P56" s="217"/>
    </row>
    <row r="57" spans="2:16">
      <c r="B57" s="235"/>
      <c r="C57" s="233"/>
      <c r="D57" s="233"/>
      <c r="E57" s="233"/>
      <c r="F57" s="233"/>
      <c r="G57" s="233"/>
      <c r="H57" s="233"/>
      <c r="I57" s="236"/>
      <c r="P57" s="217"/>
    </row>
    <row r="58" spans="2:16">
      <c r="B58" s="235"/>
      <c r="C58" s="233"/>
      <c r="D58" s="233"/>
      <c r="E58" s="233"/>
      <c r="F58" s="233"/>
      <c r="G58" s="233"/>
      <c r="H58" s="233"/>
      <c r="I58" s="236"/>
      <c r="P58" s="217"/>
    </row>
    <row r="59" spans="2:16">
      <c r="B59" s="235"/>
      <c r="C59" s="233"/>
      <c r="D59" s="233"/>
      <c r="E59" s="233"/>
      <c r="F59" s="233"/>
      <c r="G59" s="233"/>
      <c r="H59" s="233"/>
      <c r="I59" s="236"/>
      <c r="P59" s="217"/>
    </row>
    <row r="60" spans="2:16">
      <c r="B60" s="235"/>
      <c r="C60" s="233"/>
      <c r="D60" s="233"/>
      <c r="E60" s="233"/>
      <c r="F60" s="233"/>
      <c r="G60" s="233"/>
      <c r="H60" s="233"/>
      <c r="I60" s="236"/>
      <c r="P60" s="217"/>
    </row>
    <row r="61" spans="2:16">
      <c r="B61" s="235"/>
      <c r="C61" s="233"/>
      <c r="D61" s="233"/>
      <c r="E61" s="233"/>
      <c r="F61" s="233"/>
      <c r="G61" s="233"/>
      <c r="H61" s="233"/>
      <c r="P61" s="217"/>
    </row>
    <row r="62" spans="2:16">
      <c r="B62" s="235"/>
      <c r="C62" s="233"/>
      <c r="D62" s="233"/>
      <c r="E62" s="233"/>
      <c r="F62" s="233"/>
      <c r="G62" s="233"/>
      <c r="H62" s="233"/>
      <c r="I62" s="399"/>
      <c r="J62" s="451" t="s">
        <v>152</v>
      </c>
      <c r="K62" s="452"/>
      <c r="L62" s="452"/>
      <c r="M62" s="453"/>
      <c r="P62" s="217"/>
    </row>
    <row r="63" spans="2:16">
      <c r="B63" s="235"/>
      <c r="C63" s="233"/>
      <c r="D63" s="233"/>
      <c r="E63" s="233"/>
      <c r="F63" s="233"/>
      <c r="G63" s="233"/>
      <c r="H63" s="233"/>
      <c r="I63" s="400"/>
      <c r="J63" s="454" t="e">
        <f>ROUND(C66*#REF!,4)</f>
        <v>#REF!</v>
      </c>
      <c r="K63" s="455"/>
      <c r="L63" s="455"/>
      <c r="M63" s="456"/>
    </row>
    <row r="65" spans="2:16">
      <c r="B65" s="232" t="s">
        <v>150</v>
      </c>
      <c r="C65" s="399" t="s">
        <v>151</v>
      </c>
      <c r="D65" s="399"/>
      <c r="E65" s="399"/>
      <c r="F65" s="399"/>
      <c r="G65" s="399"/>
      <c r="H65" s="399"/>
      <c r="I65" s="399"/>
      <c r="J65" s="451" t="s">
        <v>152</v>
      </c>
      <c r="K65" s="452"/>
      <c r="L65" s="452"/>
      <c r="M65" s="453"/>
    </row>
    <row r="66" spans="2:16">
      <c r="B66" s="285">
        <v>9.2929999999999993</v>
      </c>
      <c r="C66" s="400" t="e">
        <f>ROUND(B66*#REF!,4)</f>
        <v>#REF!</v>
      </c>
      <c r="D66" s="400"/>
      <c r="E66" s="400"/>
      <c r="F66" s="400"/>
      <c r="G66" s="400"/>
      <c r="H66" s="400"/>
      <c r="I66" s="400"/>
      <c r="J66" s="454" t="e">
        <f>ROUND(C69*(1+#REF!),4)</f>
        <v>#REF!</v>
      </c>
      <c r="K66" s="455"/>
      <c r="L66" s="455"/>
      <c r="M66" s="456"/>
    </row>
    <row r="68" spans="2:16">
      <c r="B68" s="232" t="s">
        <v>153</v>
      </c>
      <c r="C68" s="399" t="s">
        <v>151</v>
      </c>
      <c r="D68" s="399"/>
      <c r="E68" s="399"/>
      <c r="F68" s="399"/>
      <c r="G68" s="399"/>
      <c r="H68" s="399"/>
    </row>
    <row r="69" spans="2:16">
      <c r="B69" s="285">
        <v>0.11899999999999999</v>
      </c>
      <c r="C69" s="400" t="e">
        <f>ROUND(B69*#REF!,4)</f>
        <v>#REF!</v>
      </c>
      <c r="D69" s="400"/>
      <c r="E69" s="400"/>
      <c r="F69" s="400"/>
      <c r="G69" s="400"/>
      <c r="H69" s="400"/>
    </row>
    <row r="72" spans="2:16">
      <c r="I72" s="289" t="e">
        <f>J66</f>
        <v>#REF!</v>
      </c>
      <c r="J72" s="288" t="s">
        <v>149</v>
      </c>
      <c r="K72" s="288"/>
      <c r="L72" s="288"/>
      <c r="M72" s="288"/>
      <c r="N72" s="288" t="s">
        <v>156</v>
      </c>
    </row>
    <row r="73" spans="2:16">
      <c r="B73" s="243" t="e">
        <f>CONCATENATE("Então: T=(R$ ",J63,"+R$",J66,"xD)x1,17 (ICMS) (por tonelada)")</f>
        <v>#REF!</v>
      </c>
      <c r="I73" s="286"/>
      <c r="J73" s="286"/>
      <c r="K73" s="286"/>
      <c r="L73" s="286"/>
      <c r="M73" s="286"/>
      <c r="N73" s="286"/>
    </row>
    <row r="74" spans="2:16">
      <c r="I74" s="286">
        <f>1-0.17</f>
        <v>0.83</v>
      </c>
      <c r="J74" s="288" t="s">
        <v>156</v>
      </c>
      <c r="K74" s="288"/>
      <c r="L74" s="288"/>
      <c r="M74" s="288"/>
      <c r="N74" s="286"/>
    </row>
    <row r="75" spans="2:16" s="286" customFormat="1">
      <c r="B75" s="286" t="s">
        <v>154</v>
      </c>
      <c r="C75" s="287" t="e">
        <f>J63</f>
        <v>#REF!</v>
      </c>
      <c r="D75" s="287"/>
      <c r="E75" s="288" t="s">
        <v>155</v>
      </c>
      <c r="F75" s="288"/>
      <c r="G75" s="288"/>
      <c r="H75" s="288"/>
      <c r="N75" s="217"/>
      <c r="P75" s="290"/>
    </row>
    <row r="76" spans="2:16" s="286" customFormat="1">
      <c r="I76" s="292"/>
      <c r="J76" s="292"/>
      <c r="K76" s="292"/>
      <c r="L76" s="292"/>
      <c r="M76" s="292"/>
      <c r="N76" s="292"/>
      <c r="P76" s="290"/>
    </row>
    <row r="77" spans="2:16" s="286" customFormat="1">
      <c r="B77" s="286" t="s">
        <v>154</v>
      </c>
      <c r="C77" s="287" t="e">
        <f>#REF!</f>
        <v>#REF!</v>
      </c>
      <c r="D77" s="287"/>
      <c r="E77" s="288" t="s">
        <v>157</v>
      </c>
      <c r="F77" s="288"/>
      <c r="G77" s="288"/>
      <c r="H77" s="288"/>
      <c r="I77" s="292"/>
      <c r="J77" s="292"/>
      <c r="K77" s="292"/>
      <c r="L77" s="292"/>
      <c r="M77" s="292"/>
      <c r="N77" s="292"/>
      <c r="P77" s="290"/>
    </row>
    <row r="78" spans="2:16">
      <c r="C78" s="286"/>
      <c r="D78" s="286"/>
      <c r="I78" s="294">
        <v>0.11899999999999999</v>
      </c>
      <c r="J78" s="294" t="s">
        <v>159</v>
      </c>
      <c r="K78" s="294"/>
      <c r="L78" s="294"/>
      <c r="M78" s="294"/>
      <c r="N78" s="294" t="s">
        <v>156</v>
      </c>
    </row>
    <row r="79" spans="2:16" s="292" customFormat="1">
      <c r="B79" s="291" t="s">
        <v>158</v>
      </c>
      <c r="P79" s="293"/>
    </row>
    <row r="80" spans="2:16" s="292" customFormat="1">
      <c r="I80" s="294">
        <v>1.17</v>
      </c>
      <c r="J80" s="294" t="s">
        <v>156</v>
      </c>
      <c r="K80" s="294"/>
      <c r="L80" s="294"/>
      <c r="M80" s="294"/>
      <c r="N80" s="294"/>
      <c r="P80" s="293"/>
    </row>
    <row r="81" spans="3:16" s="294" customFormat="1">
      <c r="C81" s="294">
        <v>9.2929999999999993</v>
      </c>
      <c r="E81" s="294" t="s">
        <v>155</v>
      </c>
      <c r="I81" s="217"/>
      <c r="J81" s="217"/>
      <c r="K81" s="217"/>
      <c r="L81" s="217"/>
      <c r="M81" s="217"/>
      <c r="N81" s="217"/>
      <c r="P81" s="295"/>
    </row>
    <row r="82" spans="3:16" s="292" customFormat="1">
      <c r="I82" s="217"/>
      <c r="J82" s="217"/>
      <c r="K82" s="217"/>
      <c r="L82" s="217"/>
      <c r="M82" s="217"/>
      <c r="N82" s="217"/>
      <c r="P82" s="293"/>
    </row>
    <row r="83" spans="3:16" s="294" customFormat="1">
      <c r="C83" s="296" t="e">
        <f>#REF!</f>
        <v>#REF!</v>
      </c>
      <c r="D83" s="296"/>
      <c r="E83" s="294" t="s">
        <v>159</v>
      </c>
      <c r="I83" s="217"/>
      <c r="J83" s="217"/>
      <c r="K83" s="217"/>
      <c r="L83" s="217"/>
      <c r="M83" s="217"/>
      <c r="N83" s="217"/>
      <c r="P83" s="295"/>
    </row>
  </sheetData>
  <mergeCells count="6">
    <mergeCell ref="J65:M65"/>
    <mergeCell ref="J66:M66"/>
    <mergeCell ref="B3:N3"/>
    <mergeCell ref="B5:N5"/>
    <mergeCell ref="J62:M62"/>
    <mergeCell ref="J63:M63"/>
  </mergeCells>
  <printOptions horizontalCentered="1"/>
  <pageMargins left="0.59055118110236227" right="0.59055118110236227" top="0.51181102362204722" bottom="0.35433070866141736" header="0.51181102362204722" footer="0.43307086614173229"/>
  <pageSetup paperSize="9" scale="67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showGridLines="0" workbookViewId="0">
      <pane ySplit="4" topLeftCell="A5" activePane="bottomLeft" state="frozenSplit"/>
      <selection activeCell="K6" sqref="K6"/>
      <selection pane="bottomLeft" activeCell="K6" sqref="K6"/>
    </sheetView>
  </sheetViews>
  <sheetFormatPr defaultRowHeight="15"/>
  <cols>
    <col min="1" max="1" width="14.28515625" style="59" bestFit="1" customWidth="1"/>
    <col min="2" max="2" width="11.28515625" style="59" customWidth="1"/>
    <col min="3" max="9" width="13.28515625" style="59" customWidth="1"/>
    <col min="10" max="11" width="11.28515625" style="59" customWidth="1"/>
    <col min="12" max="12" width="12.85546875" style="59" customWidth="1"/>
    <col min="13" max="13" width="12.85546875" customWidth="1"/>
  </cols>
  <sheetData>
    <row r="1" spans="1:16" ht="27.75" customHeight="1">
      <c r="A1" s="461" t="s">
        <v>118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3"/>
    </row>
    <row r="2" spans="1:16" ht="6.75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6" ht="30">
      <c r="A3" s="126" t="s">
        <v>71</v>
      </c>
      <c r="B3" s="127" t="s">
        <v>72</v>
      </c>
      <c r="C3" s="128" t="s">
        <v>104</v>
      </c>
      <c r="D3" s="128" t="s">
        <v>107</v>
      </c>
      <c r="E3" s="128" t="s">
        <v>106</v>
      </c>
      <c r="F3" s="128" t="s">
        <v>103</v>
      </c>
      <c r="G3" s="128" t="s">
        <v>105</v>
      </c>
      <c r="H3" s="128" t="s">
        <v>102</v>
      </c>
      <c r="I3" s="128" t="s">
        <v>108</v>
      </c>
      <c r="J3" s="464" t="s">
        <v>109</v>
      </c>
      <c r="K3" s="464"/>
      <c r="L3" s="464" t="s">
        <v>110</v>
      </c>
      <c r="M3" s="465"/>
    </row>
    <row r="4" spans="1:16" ht="15.75" thickBot="1">
      <c r="A4" s="148"/>
      <c r="B4" s="149"/>
      <c r="C4" s="149"/>
      <c r="D4" s="149"/>
      <c r="E4" s="149"/>
      <c r="F4" s="149"/>
      <c r="G4" s="149"/>
      <c r="H4" s="149"/>
      <c r="I4" s="149"/>
      <c r="J4" s="150" t="s">
        <v>100</v>
      </c>
      <c r="K4" s="150" t="s">
        <v>101</v>
      </c>
      <c r="L4" s="150" t="s">
        <v>100</v>
      </c>
      <c r="M4" s="151" t="s">
        <v>101</v>
      </c>
    </row>
    <row r="5" spans="1:16">
      <c r="A5" s="458" t="s">
        <v>96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60"/>
    </row>
    <row r="6" spans="1:16">
      <c r="A6" s="129">
        <v>0</v>
      </c>
      <c r="B6" s="102" t="s">
        <v>97</v>
      </c>
      <c r="C6" s="109">
        <v>240</v>
      </c>
      <c r="D6" s="109">
        <v>7</v>
      </c>
      <c r="E6" s="109">
        <f>TRUNC(C6*D6,2)</f>
        <v>1680</v>
      </c>
      <c r="F6" s="109"/>
      <c r="G6" s="109"/>
      <c r="H6" s="109"/>
      <c r="I6" s="109"/>
      <c r="J6" s="109"/>
      <c r="K6" s="109"/>
      <c r="L6" s="109"/>
      <c r="M6" s="130"/>
      <c r="N6" s="108"/>
      <c r="O6" s="108"/>
      <c r="P6" s="108"/>
    </row>
    <row r="7" spans="1:16">
      <c r="A7" s="129"/>
      <c r="B7" s="102"/>
      <c r="C7" s="109">
        <v>800</v>
      </c>
      <c r="D7" s="109">
        <v>10</v>
      </c>
      <c r="E7" s="109">
        <f>TRUNC(C7*D7,2)</f>
        <v>8000</v>
      </c>
      <c r="F7" s="109"/>
      <c r="G7" s="109"/>
      <c r="H7" s="109"/>
      <c r="I7" s="109"/>
      <c r="J7" s="109"/>
      <c r="K7" s="109"/>
      <c r="L7" s="109"/>
      <c r="M7" s="130"/>
      <c r="N7" s="108"/>
      <c r="O7" s="108"/>
      <c r="P7" s="108"/>
    </row>
    <row r="8" spans="1:16">
      <c r="A8" s="129"/>
      <c r="B8" s="110" t="s">
        <v>98</v>
      </c>
      <c r="C8" s="111"/>
      <c r="D8" s="111"/>
      <c r="E8" s="111">
        <f>SUM(E6:E7)</f>
        <v>9680</v>
      </c>
      <c r="F8" s="109"/>
      <c r="G8" s="109"/>
      <c r="H8" s="109"/>
      <c r="I8" s="109"/>
      <c r="J8" s="109"/>
      <c r="K8" s="109"/>
      <c r="L8" s="109"/>
      <c r="M8" s="130"/>
      <c r="N8" s="108"/>
      <c r="O8" s="108"/>
      <c r="P8" s="108"/>
    </row>
    <row r="9" spans="1:16" ht="15.75" thickBot="1">
      <c r="A9" s="131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32"/>
      <c r="N9" s="108"/>
      <c r="O9" s="108"/>
      <c r="P9" s="108"/>
    </row>
    <row r="10" spans="1:16" ht="15.75" thickTop="1">
      <c r="A10" s="458" t="s">
        <v>99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108"/>
      <c r="O10" s="108"/>
      <c r="P10" s="108"/>
    </row>
    <row r="11" spans="1:16">
      <c r="A11" s="129">
        <v>0</v>
      </c>
      <c r="B11" s="102" t="s">
        <v>97</v>
      </c>
      <c r="C11" s="109">
        <v>240</v>
      </c>
      <c r="D11" s="109">
        <v>7</v>
      </c>
      <c r="E11" s="109">
        <f>TRUNC(C11*D11,2)</f>
        <v>1680</v>
      </c>
      <c r="F11" s="109">
        <v>0.2</v>
      </c>
      <c r="G11" s="109">
        <f>TRUNC(E11*F11,3)</f>
        <v>336</v>
      </c>
      <c r="H11" s="109">
        <v>1.84</v>
      </c>
      <c r="I11" s="109">
        <f>TRUNC(G11*H11,3)</f>
        <v>618.24</v>
      </c>
      <c r="J11" s="103">
        <v>0</v>
      </c>
      <c r="K11" s="103">
        <v>10</v>
      </c>
      <c r="L11" s="109">
        <f>TRUNC(I11*J11,3)</f>
        <v>0</v>
      </c>
      <c r="M11" s="130">
        <f>TRUNC(I11*K11,3)</f>
        <v>6182.4</v>
      </c>
      <c r="N11" s="108"/>
      <c r="O11" s="108"/>
      <c r="P11" s="108"/>
    </row>
    <row r="12" spans="1:16">
      <c r="A12" s="129"/>
      <c r="B12" s="102"/>
      <c r="C12" s="109">
        <v>800</v>
      </c>
      <c r="D12" s="109">
        <v>10</v>
      </c>
      <c r="E12" s="109">
        <f>TRUNC(C12*D12,2)</f>
        <v>8000</v>
      </c>
      <c r="F12" s="109">
        <v>0.2</v>
      </c>
      <c r="G12" s="109">
        <f>TRUNC(E12*F12,3)</f>
        <v>1600</v>
      </c>
      <c r="H12" s="109">
        <v>1.84</v>
      </c>
      <c r="I12" s="109">
        <f>TRUNC(G12*H12,3)</f>
        <v>2944</v>
      </c>
      <c r="J12" s="103">
        <v>0</v>
      </c>
      <c r="K12" s="103">
        <v>10</v>
      </c>
      <c r="L12" s="109">
        <f>TRUNC(I12*J12,3)</f>
        <v>0</v>
      </c>
      <c r="M12" s="130">
        <f>TRUNC(I12*K12,3)</f>
        <v>29440</v>
      </c>
      <c r="N12" s="108"/>
      <c r="O12" s="108"/>
      <c r="P12" s="108"/>
    </row>
    <row r="13" spans="1:16">
      <c r="A13" s="129"/>
      <c r="B13" s="110" t="s">
        <v>98</v>
      </c>
      <c r="C13" s="109"/>
      <c r="D13" s="109"/>
      <c r="E13" s="109"/>
      <c r="F13" s="109"/>
      <c r="G13" s="111">
        <f>SUM(G11:G12)</f>
        <v>1936</v>
      </c>
      <c r="H13" s="111"/>
      <c r="I13" s="111"/>
      <c r="J13" s="103"/>
      <c r="K13" s="111"/>
      <c r="L13" s="111">
        <f>SUM(L11:L12)</f>
        <v>0</v>
      </c>
      <c r="M13" s="133">
        <f>SUM(M11:M12)</f>
        <v>35622.400000000001</v>
      </c>
      <c r="N13" s="108"/>
      <c r="O13" s="108"/>
      <c r="P13" s="108"/>
    </row>
    <row r="14" spans="1:16" ht="15.75" thickBot="1">
      <c r="A14" s="131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32"/>
      <c r="N14" s="108"/>
      <c r="O14" s="108"/>
      <c r="P14" s="108"/>
    </row>
    <row r="15" spans="1:16" ht="15.75" thickTop="1">
      <c r="A15" s="458" t="s">
        <v>111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60"/>
      <c r="N15" s="108"/>
      <c r="O15" s="108"/>
      <c r="P15" s="108"/>
    </row>
    <row r="16" spans="1:16">
      <c r="A16" s="129">
        <v>0</v>
      </c>
      <c r="B16" s="102" t="s">
        <v>97</v>
      </c>
      <c r="C16" s="109">
        <v>240</v>
      </c>
      <c r="D16" s="109">
        <v>7</v>
      </c>
      <c r="E16" s="109">
        <f>TRUNC(C16*D16,2)</f>
        <v>1680</v>
      </c>
      <c r="F16" s="109"/>
      <c r="G16" s="109"/>
      <c r="H16" s="109"/>
      <c r="I16" s="109"/>
      <c r="J16" s="109"/>
      <c r="K16" s="109"/>
      <c r="L16" s="109"/>
      <c r="M16" s="130"/>
      <c r="N16" s="108"/>
      <c r="O16" s="108"/>
      <c r="P16" s="108"/>
    </row>
    <row r="17" spans="1:16">
      <c r="A17" s="129"/>
      <c r="B17" s="102"/>
      <c r="C17" s="109">
        <v>800</v>
      </c>
      <c r="D17" s="109">
        <v>10</v>
      </c>
      <c r="E17" s="109">
        <f>TRUNC(C17*D17,2)</f>
        <v>8000</v>
      </c>
      <c r="F17" s="109"/>
      <c r="G17" s="109"/>
      <c r="H17" s="109"/>
      <c r="I17" s="109"/>
      <c r="J17" s="109"/>
      <c r="K17" s="109"/>
      <c r="L17" s="109"/>
      <c r="M17" s="130"/>
      <c r="N17" s="108"/>
      <c r="O17" s="108"/>
      <c r="P17" s="108"/>
    </row>
    <row r="18" spans="1:16">
      <c r="A18" s="134"/>
      <c r="B18" s="123" t="s">
        <v>98</v>
      </c>
      <c r="C18" s="112"/>
      <c r="D18" s="112"/>
      <c r="E18" s="124">
        <f>SUM(E16:E17)</f>
        <v>9680</v>
      </c>
      <c r="F18" s="112"/>
      <c r="G18" s="105"/>
      <c r="H18" s="112"/>
      <c r="I18" s="112"/>
      <c r="J18" s="112"/>
      <c r="K18" s="112"/>
      <c r="L18" s="112"/>
      <c r="M18" s="135"/>
      <c r="N18" s="108"/>
      <c r="O18" s="108"/>
      <c r="P18" s="108"/>
    </row>
    <row r="19" spans="1:16">
      <c r="A19" s="136" t="s">
        <v>112</v>
      </c>
      <c r="B19" s="118"/>
      <c r="C19" s="119"/>
      <c r="D19" s="119"/>
      <c r="E19" s="120"/>
      <c r="F19" s="119"/>
      <c r="G19" s="117"/>
      <c r="H19" s="119"/>
      <c r="I19" s="119"/>
      <c r="J19" s="119"/>
      <c r="K19" s="119"/>
      <c r="L19" s="119"/>
      <c r="M19" s="137"/>
      <c r="N19" s="108"/>
      <c r="O19" s="108"/>
      <c r="P19" s="108"/>
    </row>
    <row r="20" spans="1:16">
      <c r="A20" s="138" t="s">
        <v>115</v>
      </c>
      <c r="B20" s="114"/>
      <c r="C20" s="115"/>
      <c r="D20" s="115"/>
      <c r="E20" s="116"/>
      <c r="F20" s="115"/>
      <c r="G20" s="113"/>
      <c r="H20" s="115"/>
      <c r="I20" s="115"/>
      <c r="J20" s="115"/>
      <c r="K20" s="115"/>
      <c r="L20" s="115"/>
      <c r="M20" s="139"/>
      <c r="N20" s="108"/>
      <c r="O20" s="108"/>
      <c r="P20" s="108"/>
    </row>
    <row r="21" spans="1:16">
      <c r="A21" s="138" t="s">
        <v>98</v>
      </c>
      <c r="B21" s="114">
        <f>TRUNC(E18*0.0012,3)</f>
        <v>11.616</v>
      </c>
      <c r="C21" s="115"/>
      <c r="D21" s="115"/>
      <c r="E21" s="116"/>
      <c r="F21" s="115"/>
      <c r="G21" s="113"/>
      <c r="H21" s="115"/>
      <c r="I21" s="115"/>
      <c r="J21" s="115"/>
      <c r="K21" s="115"/>
      <c r="L21" s="115"/>
      <c r="M21" s="139"/>
      <c r="N21" s="108"/>
      <c r="O21" s="108"/>
      <c r="P21" s="108"/>
    </row>
    <row r="22" spans="1:16" ht="15.75" thickBot="1">
      <c r="A22" s="131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32"/>
      <c r="N22" s="108"/>
      <c r="O22" s="108"/>
      <c r="P22" s="108"/>
    </row>
    <row r="23" spans="1:16" ht="15.75" thickTop="1">
      <c r="A23" s="458" t="s">
        <v>113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60"/>
    </row>
    <row r="24" spans="1:16">
      <c r="A24" s="129">
        <v>0</v>
      </c>
      <c r="B24" s="102" t="s">
        <v>97</v>
      </c>
      <c r="C24" s="109">
        <v>240</v>
      </c>
      <c r="D24" s="109">
        <v>7</v>
      </c>
      <c r="E24" s="109">
        <f>TRUNC(C24*D24,2)</f>
        <v>1680</v>
      </c>
      <c r="F24" s="109"/>
      <c r="G24" s="109"/>
      <c r="H24" s="125">
        <v>3.7100000000000001E-2</v>
      </c>
      <c r="I24" s="109">
        <f>TRUNC(E24*H24)</f>
        <v>62</v>
      </c>
      <c r="J24" s="109">
        <v>60</v>
      </c>
      <c r="K24" s="109">
        <v>10</v>
      </c>
      <c r="L24" s="109">
        <f>TRUNC(I24*J24,3)</f>
        <v>3720</v>
      </c>
      <c r="M24" s="140">
        <f>TRUNC(I24*K24,3)</f>
        <v>620</v>
      </c>
    </row>
    <row r="25" spans="1:16">
      <c r="A25" s="129"/>
      <c r="B25" s="102"/>
      <c r="C25" s="109">
        <v>800</v>
      </c>
      <c r="D25" s="109">
        <v>10</v>
      </c>
      <c r="E25" s="109">
        <f>TRUNC(C25*D25,2)</f>
        <v>8000</v>
      </c>
      <c r="F25" s="109"/>
      <c r="G25" s="109"/>
      <c r="H25" s="109"/>
      <c r="I25" s="109"/>
      <c r="J25" s="109"/>
      <c r="K25" s="109"/>
      <c r="L25" s="109"/>
      <c r="M25" s="130"/>
    </row>
    <row r="26" spans="1:16">
      <c r="A26" s="134"/>
      <c r="B26" s="123" t="s">
        <v>98</v>
      </c>
      <c r="C26" s="112"/>
      <c r="D26" s="112"/>
      <c r="E26" s="124">
        <f>SUM(E24:E25)</f>
        <v>9680</v>
      </c>
      <c r="F26" s="112"/>
      <c r="G26" s="105"/>
      <c r="H26" s="112"/>
      <c r="I26" s="112"/>
      <c r="J26" s="112"/>
      <c r="K26" s="112"/>
      <c r="L26" s="124">
        <f>SUM(L24:L24)</f>
        <v>3720</v>
      </c>
      <c r="M26" s="141">
        <f>SUM(M24:M24)</f>
        <v>620</v>
      </c>
    </row>
    <row r="27" spans="1:16">
      <c r="A27" s="136" t="s">
        <v>114</v>
      </c>
      <c r="B27" s="118"/>
      <c r="C27" s="119"/>
      <c r="D27" s="119"/>
      <c r="E27" s="120"/>
      <c r="F27" s="119"/>
      <c r="G27" s="117"/>
      <c r="H27" s="119"/>
      <c r="I27" s="119"/>
      <c r="J27" s="119"/>
      <c r="K27" s="119"/>
      <c r="L27" s="119"/>
      <c r="M27" s="137"/>
    </row>
    <row r="28" spans="1:16">
      <c r="A28" s="138" t="s">
        <v>116</v>
      </c>
      <c r="B28" s="114"/>
      <c r="C28" s="115"/>
      <c r="D28" s="115"/>
      <c r="E28" s="116"/>
      <c r="F28" s="115"/>
      <c r="G28" s="113"/>
      <c r="H28" s="115"/>
      <c r="I28" s="115"/>
      <c r="J28" s="115"/>
      <c r="K28" s="115"/>
      <c r="L28" s="115"/>
      <c r="M28" s="139"/>
    </row>
    <row r="29" spans="1:16">
      <c r="A29" s="138" t="s">
        <v>98</v>
      </c>
      <c r="B29" s="114">
        <f>TRUNC(E26*0.003,3)</f>
        <v>29.04</v>
      </c>
      <c r="C29" s="115"/>
      <c r="D29" s="115"/>
      <c r="E29" s="116"/>
      <c r="F29" s="115"/>
      <c r="G29" s="113"/>
      <c r="H29" s="115"/>
      <c r="I29" s="115"/>
      <c r="J29" s="115"/>
      <c r="K29" s="115"/>
      <c r="L29" s="115"/>
      <c r="M29" s="139"/>
    </row>
    <row r="30" spans="1:16" ht="15.75" thickBot="1">
      <c r="A30" s="131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32"/>
    </row>
    <row r="31" spans="1:16" ht="15.75" thickTop="1">
      <c r="A31" s="458" t="s">
        <v>117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16">
      <c r="A32" s="129">
        <v>0</v>
      </c>
      <c r="B32" s="102" t="s">
        <v>97</v>
      </c>
      <c r="C32" s="109">
        <v>240</v>
      </c>
      <c r="D32" s="109">
        <v>7</v>
      </c>
      <c r="E32" s="109">
        <f>TRUNC(C32*D32,2)</f>
        <v>1680</v>
      </c>
      <c r="F32" s="109"/>
      <c r="G32" s="109"/>
      <c r="H32" s="125">
        <v>8.9999999999999993E-3</v>
      </c>
      <c r="I32" s="109">
        <f>TRUNC(E32*H32)</f>
        <v>15</v>
      </c>
      <c r="J32" s="109">
        <v>60</v>
      </c>
      <c r="K32" s="109">
        <v>10</v>
      </c>
      <c r="L32" s="109">
        <f>TRUNC(I32*J32,3)</f>
        <v>900</v>
      </c>
      <c r="M32" s="140">
        <f>TRUNC(I32*K32,3)</f>
        <v>150</v>
      </c>
    </row>
    <row r="33" spans="1:13">
      <c r="A33" s="129"/>
      <c r="B33" s="102"/>
      <c r="C33" s="109">
        <v>800</v>
      </c>
      <c r="D33" s="109">
        <v>10</v>
      </c>
      <c r="E33" s="109">
        <f>TRUNC(C33*D33,2)</f>
        <v>8000</v>
      </c>
      <c r="F33" s="109"/>
      <c r="G33" s="109"/>
      <c r="H33" s="109"/>
      <c r="I33" s="109"/>
      <c r="J33" s="109"/>
      <c r="K33" s="109"/>
      <c r="L33" s="109"/>
      <c r="M33" s="130"/>
    </row>
    <row r="34" spans="1:13" ht="15.75" thickBot="1">
      <c r="A34" s="142"/>
      <c r="B34" s="143" t="s">
        <v>98</v>
      </c>
      <c r="C34" s="144"/>
      <c r="D34" s="144"/>
      <c r="E34" s="145">
        <f>SUM(E32:E33)</f>
        <v>9680</v>
      </c>
      <c r="F34" s="144"/>
      <c r="G34" s="146"/>
      <c r="H34" s="144"/>
      <c r="I34" s="144"/>
      <c r="J34" s="144"/>
      <c r="K34" s="144"/>
      <c r="L34" s="145">
        <f>SUM(L32:L32)</f>
        <v>900</v>
      </c>
      <c r="M34" s="147">
        <f>SUM(M32:M32)</f>
        <v>150</v>
      </c>
    </row>
  </sheetData>
  <mergeCells count="8">
    <mergeCell ref="A15:M15"/>
    <mergeCell ref="A23:M23"/>
    <mergeCell ref="A31:M31"/>
    <mergeCell ref="A1:M1"/>
    <mergeCell ref="J3:K3"/>
    <mergeCell ref="L3:M3"/>
    <mergeCell ref="A5:M5"/>
    <mergeCell ref="A10:M10"/>
  </mergeCells>
  <pageMargins left="0.51181102362204722" right="0.51181102362204722" top="0.78740157480314965" bottom="0.78740157480314965" header="0.31496062992125984" footer="0.31496062992125984"/>
  <pageSetup paperSize="9" scale="82" orientation="landscape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F24" sqref="F24"/>
    </sheetView>
  </sheetViews>
  <sheetFormatPr defaultRowHeight="15"/>
  <cols>
    <col min="1" max="4" width="10.7109375" style="59" customWidth="1"/>
    <col min="5" max="5" width="10.7109375" style="60" customWidth="1"/>
    <col min="6" max="6" width="10.7109375" style="61" customWidth="1"/>
    <col min="7" max="10" width="10.7109375" customWidth="1"/>
  </cols>
  <sheetData>
    <row r="1" spans="1:11">
      <c r="A1" s="468" t="s">
        <v>73</v>
      </c>
      <c r="B1" s="467" t="s">
        <v>76</v>
      </c>
      <c r="C1" s="467"/>
      <c r="D1" s="467"/>
      <c r="E1" s="466" t="s">
        <v>75</v>
      </c>
      <c r="F1" s="466"/>
      <c r="G1" s="96"/>
      <c r="H1" s="467" t="s">
        <v>76</v>
      </c>
      <c r="I1" s="467"/>
      <c r="J1" s="467"/>
    </row>
    <row r="2" spans="1:11" s="63" customFormat="1" ht="30">
      <c r="A2" s="468"/>
      <c r="B2" s="88" t="s">
        <v>77</v>
      </c>
      <c r="C2" s="88" t="s">
        <v>91</v>
      </c>
      <c r="D2" s="88" t="s">
        <v>78</v>
      </c>
      <c r="E2" s="97" t="s">
        <v>95</v>
      </c>
      <c r="F2" s="98" t="s">
        <v>94</v>
      </c>
      <c r="G2" s="88" t="s">
        <v>93</v>
      </c>
      <c r="H2" s="88" t="s">
        <v>78</v>
      </c>
      <c r="I2" s="88" t="s">
        <v>92</v>
      </c>
      <c r="J2" s="88" t="s">
        <v>77</v>
      </c>
    </row>
    <row r="3" spans="1:11">
      <c r="A3" s="99">
        <v>0</v>
      </c>
      <c r="B3" s="100">
        <v>3.5</v>
      </c>
      <c r="C3" s="100">
        <f>F3+((D3/100)*B3)</f>
        <v>99.894999999999996</v>
      </c>
      <c r="D3" s="100">
        <v>-3</v>
      </c>
      <c r="E3" s="101">
        <v>100</v>
      </c>
      <c r="F3" s="101">
        <v>100</v>
      </c>
      <c r="G3" s="100">
        <f>E3-F3</f>
        <v>0</v>
      </c>
      <c r="H3" s="100">
        <v>-3</v>
      </c>
      <c r="I3" s="100">
        <f>F3+((H3/100)*J3)</f>
        <v>99.894999999999996</v>
      </c>
      <c r="J3" s="100">
        <v>3.5</v>
      </c>
      <c r="K3" s="64"/>
    </row>
    <row r="4" spans="1:11">
      <c r="A4" s="102">
        <v>1</v>
      </c>
      <c r="B4" s="103">
        <v>3.5</v>
      </c>
      <c r="C4" s="103">
        <f t="shared" ref="C4:C67" si="0">F4+((D4/100)*B4)</f>
        <v>99.706000000000003</v>
      </c>
      <c r="D4" s="103">
        <v>-3</v>
      </c>
      <c r="E4" s="104">
        <v>99.683999999999997</v>
      </c>
      <c r="F4" s="104">
        <v>99.811000000000007</v>
      </c>
      <c r="G4" s="103">
        <f t="shared" ref="G4:G67" si="1">E4-F4</f>
        <v>-0.12700000000000955</v>
      </c>
      <c r="H4" s="103">
        <v>-3</v>
      </c>
      <c r="I4" s="103">
        <f>F4+((H4/100)*J4)</f>
        <v>99.706000000000003</v>
      </c>
      <c r="J4" s="103">
        <v>3.5</v>
      </c>
      <c r="K4" s="64"/>
    </row>
    <row r="5" spans="1:11">
      <c r="A5" s="102">
        <v>2</v>
      </c>
      <c r="B5" s="103">
        <v>3.5</v>
      </c>
      <c r="C5" s="103">
        <f t="shared" si="0"/>
        <v>99.516999999999996</v>
      </c>
      <c r="D5" s="103">
        <v>-3</v>
      </c>
      <c r="E5" s="104">
        <v>99.477000000000004</v>
      </c>
      <c r="F5" s="104">
        <v>99.622</v>
      </c>
      <c r="G5" s="103">
        <f t="shared" si="1"/>
        <v>-0.14499999999999602</v>
      </c>
      <c r="H5" s="103">
        <v>-3</v>
      </c>
      <c r="I5" s="103">
        <f t="shared" ref="I5:I68" si="2">F5+((H5/100)*J5)</f>
        <v>99.516999999999996</v>
      </c>
      <c r="J5" s="103">
        <v>3.5</v>
      </c>
      <c r="K5" s="64"/>
    </row>
    <row r="6" spans="1:11">
      <c r="A6" s="102">
        <v>3</v>
      </c>
      <c r="B6" s="103">
        <v>3.5</v>
      </c>
      <c r="C6" s="103">
        <f t="shared" si="0"/>
        <v>99.328000000000003</v>
      </c>
      <c r="D6" s="103">
        <v>-3</v>
      </c>
      <c r="E6" s="104">
        <v>99.524000000000001</v>
      </c>
      <c r="F6" s="104">
        <v>99.433000000000007</v>
      </c>
      <c r="G6" s="103">
        <f t="shared" si="1"/>
        <v>9.0999999999993975E-2</v>
      </c>
      <c r="H6" s="103">
        <v>-3</v>
      </c>
      <c r="I6" s="103">
        <f t="shared" si="2"/>
        <v>99.328000000000003</v>
      </c>
      <c r="J6" s="103">
        <v>3.5</v>
      </c>
      <c r="K6" s="64"/>
    </row>
    <row r="7" spans="1:11">
      <c r="A7" s="102">
        <v>4</v>
      </c>
      <c r="B7" s="103">
        <v>3.5</v>
      </c>
      <c r="C7" s="103">
        <f t="shared" si="0"/>
        <v>99.138999999999996</v>
      </c>
      <c r="D7" s="103">
        <v>-3</v>
      </c>
      <c r="E7" s="104">
        <v>99.484999999999999</v>
      </c>
      <c r="F7" s="104">
        <v>99.244</v>
      </c>
      <c r="G7" s="103">
        <f t="shared" si="1"/>
        <v>0.24099999999999966</v>
      </c>
      <c r="H7" s="103">
        <v>-3</v>
      </c>
      <c r="I7" s="103">
        <f t="shared" si="2"/>
        <v>99.138999999999996</v>
      </c>
      <c r="J7" s="103">
        <v>3.5</v>
      </c>
      <c r="K7" s="64"/>
    </row>
    <row r="8" spans="1:11">
      <c r="A8" s="102">
        <v>5</v>
      </c>
      <c r="B8" s="103">
        <v>3.5</v>
      </c>
      <c r="C8" s="103">
        <f t="shared" si="0"/>
        <v>98.950999999999993</v>
      </c>
      <c r="D8" s="103">
        <v>-3</v>
      </c>
      <c r="E8" s="104">
        <v>99.171999999999997</v>
      </c>
      <c r="F8" s="104">
        <v>99.055999999999997</v>
      </c>
      <c r="G8" s="103">
        <f t="shared" si="1"/>
        <v>0.11599999999999966</v>
      </c>
      <c r="H8" s="103">
        <v>-3</v>
      </c>
      <c r="I8" s="103">
        <f t="shared" si="2"/>
        <v>98.950999999999993</v>
      </c>
      <c r="J8" s="103">
        <v>3.5</v>
      </c>
      <c r="K8" s="64"/>
    </row>
    <row r="9" spans="1:11">
      <c r="A9" s="102">
        <v>6</v>
      </c>
      <c r="B9" s="103">
        <v>3.5</v>
      </c>
      <c r="C9" s="103">
        <f t="shared" si="0"/>
        <v>98.762</v>
      </c>
      <c r="D9" s="103">
        <v>-3</v>
      </c>
      <c r="E9" s="104">
        <v>98.647000000000006</v>
      </c>
      <c r="F9" s="104">
        <v>98.867000000000004</v>
      </c>
      <c r="G9" s="103">
        <f t="shared" si="1"/>
        <v>-0.21999999999999886</v>
      </c>
      <c r="H9" s="103">
        <v>-3</v>
      </c>
      <c r="I9" s="103">
        <f t="shared" si="2"/>
        <v>98.762</v>
      </c>
      <c r="J9" s="103">
        <v>3.5</v>
      </c>
      <c r="K9" s="64"/>
    </row>
    <row r="10" spans="1:11">
      <c r="A10" s="102">
        <v>7</v>
      </c>
      <c r="B10" s="103">
        <v>3.5</v>
      </c>
      <c r="C10" s="103">
        <f t="shared" si="0"/>
        <v>98.572999999999993</v>
      </c>
      <c r="D10" s="103">
        <v>-3</v>
      </c>
      <c r="E10" s="104">
        <v>98.447999999999993</v>
      </c>
      <c r="F10" s="104">
        <v>98.677999999999997</v>
      </c>
      <c r="G10" s="103">
        <f t="shared" si="1"/>
        <v>-0.23000000000000398</v>
      </c>
      <c r="H10" s="103">
        <v>-3</v>
      </c>
      <c r="I10" s="103">
        <f t="shared" si="2"/>
        <v>98.572999999999993</v>
      </c>
      <c r="J10" s="103">
        <v>3.5</v>
      </c>
      <c r="K10" s="64"/>
    </row>
    <row r="11" spans="1:11">
      <c r="A11" s="102">
        <v>8</v>
      </c>
      <c r="B11" s="103">
        <v>3.5</v>
      </c>
      <c r="C11" s="103">
        <f t="shared" si="0"/>
        <v>98.384</v>
      </c>
      <c r="D11" s="103">
        <v>-3</v>
      </c>
      <c r="E11" s="104">
        <v>98.334000000000003</v>
      </c>
      <c r="F11" s="104">
        <v>98.489000000000004</v>
      </c>
      <c r="G11" s="103">
        <f t="shared" si="1"/>
        <v>-0.15500000000000114</v>
      </c>
      <c r="H11" s="103">
        <v>-3</v>
      </c>
      <c r="I11" s="103">
        <f t="shared" si="2"/>
        <v>98.384</v>
      </c>
      <c r="J11" s="103">
        <v>3.5</v>
      </c>
      <c r="K11" s="64"/>
    </row>
    <row r="12" spans="1:11">
      <c r="A12" s="102">
        <v>9</v>
      </c>
      <c r="B12" s="103">
        <v>3.5</v>
      </c>
      <c r="C12" s="103">
        <f t="shared" si="0"/>
        <v>98.149000000000001</v>
      </c>
      <c r="D12" s="103">
        <v>-3</v>
      </c>
      <c r="E12" s="104">
        <v>98.25</v>
      </c>
      <c r="F12" s="104">
        <v>98.254000000000005</v>
      </c>
      <c r="G12" s="103">
        <f t="shared" si="1"/>
        <v>-4.0000000000048885E-3</v>
      </c>
      <c r="H12" s="103">
        <v>-3</v>
      </c>
      <c r="I12" s="103">
        <f t="shared" si="2"/>
        <v>98.149000000000001</v>
      </c>
      <c r="J12" s="103">
        <v>3.5</v>
      </c>
      <c r="K12" s="64"/>
    </row>
    <row r="13" spans="1:11">
      <c r="A13" s="102">
        <v>10</v>
      </c>
      <c r="B13" s="103">
        <v>3.5</v>
      </c>
      <c r="C13" s="103">
        <f t="shared" si="0"/>
        <v>97.822000000000003</v>
      </c>
      <c r="D13" s="103">
        <v>-3</v>
      </c>
      <c r="E13" s="104">
        <v>97.792000000000002</v>
      </c>
      <c r="F13" s="104">
        <v>97.927000000000007</v>
      </c>
      <c r="G13" s="103">
        <f t="shared" si="1"/>
        <v>-0.13500000000000512</v>
      </c>
      <c r="H13" s="103">
        <v>-3</v>
      </c>
      <c r="I13" s="103">
        <f t="shared" si="2"/>
        <v>97.822000000000003</v>
      </c>
      <c r="J13" s="103">
        <v>3.5</v>
      </c>
      <c r="K13" s="64"/>
    </row>
    <row r="14" spans="1:11">
      <c r="A14" s="102">
        <v>11</v>
      </c>
      <c r="B14" s="103">
        <v>3.5</v>
      </c>
      <c r="C14" s="103">
        <f t="shared" si="0"/>
        <v>97.447999999999993</v>
      </c>
      <c r="D14" s="103">
        <v>-3</v>
      </c>
      <c r="E14" s="104">
        <v>97.55</v>
      </c>
      <c r="F14" s="104">
        <v>97.552999999999997</v>
      </c>
      <c r="G14" s="103">
        <f t="shared" si="1"/>
        <v>-3.0000000000001137E-3</v>
      </c>
      <c r="H14" s="103">
        <v>-3</v>
      </c>
      <c r="I14" s="103">
        <f t="shared" si="2"/>
        <v>97.447999999999993</v>
      </c>
      <c r="J14" s="103">
        <v>3.5</v>
      </c>
      <c r="K14" s="64"/>
    </row>
    <row r="15" spans="1:11">
      <c r="A15" s="102">
        <v>12</v>
      </c>
      <c r="B15" s="103">
        <v>3.5</v>
      </c>
      <c r="C15" s="103">
        <f t="shared" si="0"/>
        <v>97.075000000000003</v>
      </c>
      <c r="D15" s="103">
        <v>-3</v>
      </c>
      <c r="E15" s="104">
        <v>97.111999999999995</v>
      </c>
      <c r="F15" s="104">
        <v>97.18</v>
      </c>
      <c r="G15" s="103">
        <f t="shared" si="1"/>
        <v>-6.8000000000012051E-2</v>
      </c>
      <c r="H15" s="103">
        <v>-3</v>
      </c>
      <c r="I15" s="103">
        <f t="shared" si="2"/>
        <v>97.075000000000003</v>
      </c>
      <c r="J15" s="103">
        <v>3.5</v>
      </c>
      <c r="K15" s="64"/>
    </row>
    <row r="16" spans="1:11">
      <c r="A16" s="102">
        <v>13</v>
      </c>
      <c r="B16" s="103">
        <v>3.5</v>
      </c>
      <c r="C16" s="103">
        <f t="shared" si="0"/>
        <v>96.701999999999998</v>
      </c>
      <c r="D16" s="103">
        <v>-3</v>
      </c>
      <c r="E16" s="104">
        <v>96.853999999999999</v>
      </c>
      <c r="F16" s="104">
        <v>96.807000000000002</v>
      </c>
      <c r="G16" s="103">
        <f t="shared" si="1"/>
        <v>4.6999999999997044E-2</v>
      </c>
      <c r="H16" s="103">
        <v>-3</v>
      </c>
      <c r="I16" s="103">
        <f t="shared" si="2"/>
        <v>96.701999999999998</v>
      </c>
      <c r="J16" s="103">
        <v>3.5</v>
      </c>
      <c r="K16" s="64"/>
    </row>
    <row r="17" spans="1:11">
      <c r="A17" s="102">
        <v>14</v>
      </c>
      <c r="B17" s="103">
        <v>3.5</v>
      </c>
      <c r="C17" s="103">
        <f t="shared" si="0"/>
        <v>96.328000000000003</v>
      </c>
      <c r="D17" s="103">
        <v>-3</v>
      </c>
      <c r="E17" s="104">
        <v>96.236999999999995</v>
      </c>
      <c r="F17" s="104">
        <v>96.433000000000007</v>
      </c>
      <c r="G17" s="103">
        <f t="shared" si="1"/>
        <v>-0.19600000000001216</v>
      </c>
      <c r="H17" s="103">
        <v>-3</v>
      </c>
      <c r="I17" s="103">
        <f t="shared" si="2"/>
        <v>96.328000000000003</v>
      </c>
      <c r="J17" s="103">
        <v>3.5</v>
      </c>
      <c r="K17" s="64"/>
    </row>
    <row r="18" spans="1:11">
      <c r="A18" s="102">
        <v>15</v>
      </c>
      <c r="B18" s="103">
        <v>3.5</v>
      </c>
      <c r="C18" s="103">
        <f t="shared" si="0"/>
        <v>95.954999999999998</v>
      </c>
      <c r="D18" s="103">
        <v>-3</v>
      </c>
      <c r="E18" s="104">
        <v>96.022000000000006</v>
      </c>
      <c r="F18" s="104">
        <v>96.06</v>
      </c>
      <c r="G18" s="103">
        <f t="shared" si="1"/>
        <v>-3.7999999999996703E-2</v>
      </c>
      <c r="H18" s="103">
        <v>-3</v>
      </c>
      <c r="I18" s="103">
        <f t="shared" si="2"/>
        <v>95.954999999999998</v>
      </c>
      <c r="J18" s="103">
        <v>3.5</v>
      </c>
      <c r="K18" s="64"/>
    </row>
    <row r="19" spans="1:11">
      <c r="A19" s="102">
        <v>16</v>
      </c>
      <c r="B19" s="103">
        <v>3.5</v>
      </c>
      <c r="C19" s="103">
        <f t="shared" si="0"/>
        <v>95.60199999999999</v>
      </c>
      <c r="D19" s="103">
        <v>-3</v>
      </c>
      <c r="E19" s="104">
        <v>95.497</v>
      </c>
      <c r="F19" s="104">
        <v>95.706999999999994</v>
      </c>
      <c r="G19" s="103">
        <f t="shared" si="1"/>
        <v>-0.20999999999999375</v>
      </c>
      <c r="H19" s="103">
        <v>-3</v>
      </c>
      <c r="I19" s="103">
        <f t="shared" si="2"/>
        <v>95.60199999999999</v>
      </c>
      <c r="J19" s="103">
        <v>3.5</v>
      </c>
      <c r="K19" s="64"/>
    </row>
    <row r="20" spans="1:11">
      <c r="A20" s="102">
        <v>17</v>
      </c>
      <c r="B20" s="103">
        <v>3.5</v>
      </c>
      <c r="C20" s="103">
        <f t="shared" si="0"/>
        <v>95.39</v>
      </c>
      <c r="D20" s="103">
        <v>-3</v>
      </c>
      <c r="E20" s="104">
        <v>95.435000000000002</v>
      </c>
      <c r="F20" s="104">
        <v>95.495000000000005</v>
      </c>
      <c r="G20" s="103">
        <f t="shared" si="1"/>
        <v>-6.0000000000002274E-2</v>
      </c>
      <c r="H20" s="103">
        <v>-3</v>
      </c>
      <c r="I20" s="103">
        <f t="shared" si="2"/>
        <v>95.39</v>
      </c>
      <c r="J20" s="103">
        <v>3.5</v>
      </c>
      <c r="K20" s="64"/>
    </row>
    <row r="21" spans="1:11">
      <c r="A21" s="102">
        <v>18</v>
      </c>
      <c r="B21" s="103">
        <v>3.5</v>
      </c>
      <c r="C21" s="103">
        <f t="shared" si="0"/>
        <v>95.331000000000003</v>
      </c>
      <c r="D21" s="103">
        <v>-3</v>
      </c>
      <c r="E21" s="104">
        <v>95.373000000000005</v>
      </c>
      <c r="F21" s="104">
        <v>95.436000000000007</v>
      </c>
      <c r="G21" s="103">
        <f t="shared" si="1"/>
        <v>-6.3000000000002387E-2</v>
      </c>
      <c r="H21" s="103">
        <v>-3</v>
      </c>
      <c r="I21" s="103">
        <f t="shared" si="2"/>
        <v>95.331000000000003</v>
      </c>
      <c r="J21" s="103">
        <v>3.5</v>
      </c>
      <c r="K21" s="64"/>
    </row>
    <row r="22" spans="1:11">
      <c r="A22" s="102">
        <v>19</v>
      </c>
      <c r="B22" s="103">
        <v>3.5</v>
      </c>
      <c r="C22" s="103">
        <f t="shared" si="0"/>
        <v>95.366</v>
      </c>
      <c r="D22" s="103">
        <v>-3</v>
      </c>
      <c r="E22" s="104">
        <v>95.441000000000003</v>
      </c>
      <c r="F22" s="104">
        <v>95.471000000000004</v>
      </c>
      <c r="G22" s="103">
        <f t="shared" si="1"/>
        <v>-3.0000000000001137E-2</v>
      </c>
      <c r="H22" s="103">
        <v>-3</v>
      </c>
      <c r="I22" s="103">
        <f t="shared" si="2"/>
        <v>95.366</v>
      </c>
      <c r="J22" s="103">
        <v>3.5</v>
      </c>
      <c r="K22" s="64"/>
    </row>
    <row r="23" spans="1:11">
      <c r="A23" s="102">
        <v>20</v>
      </c>
      <c r="B23" s="103">
        <v>3.5</v>
      </c>
      <c r="C23" s="103">
        <f t="shared" si="0"/>
        <v>95.474999999999994</v>
      </c>
      <c r="D23" s="103">
        <v>-3</v>
      </c>
      <c r="E23" s="104">
        <v>95.515000000000001</v>
      </c>
      <c r="F23" s="104">
        <v>95.58</v>
      </c>
      <c r="G23" s="103">
        <f t="shared" si="1"/>
        <v>-6.4999999999997726E-2</v>
      </c>
      <c r="H23" s="103">
        <v>-3</v>
      </c>
      <c r="I23" s="103">
        <f t="shared" si="2"/>
        <v>95.474999999999994</v>
      </c>
      <c r="J23" s="103">
        <v>3.5</v>
      </c>
      <c r="K23" s="64"/>
    </row>
    <row r="24" spans="1:11">
      <c r="A24" s="102">
        <v>21</v>
      </c>
      <c r="B24" s="103">
        <v>3.5</v>
      </c>
      <c r="C24" s="103">
        <f t="shared" si="0"/>
        <v>95.594999999999999</v>
      </c>
      <c r="D24" s="103">
        <v>-3</v>
      </c>
      <c r="E24" s="104">
        <v>95.644999999999996</v>
      </c>
      <c r="F24" s="104">
        <v>95.7</v>
      </c>
      <c r="G24" s="103">
        <f t="shared" si="1"/>
        <v>-5.5000000000006821E-2</v>
      </c>
      <c r="H24" s="103">
        <v>-3</v>
      </c>
      <c r="I24" s="103">
        <f t="shared" si="2"/>
        <v>95.594999999999999</v>
      </c>
      <c r="J24" s="103">
        <v>3.5</v>
      </c>
      <c r="K24" s="64"/>
    </row>
    <row r="25" spans="1:11">
      <c r="A25" s="102">
        <v>22</v>
      </c>
      <c r="B25" s="103">
        <v>3.5</v>
      </c>
      <c r="C25" s="103">
        <f t="shared" si="0"/>
        <v>95.714999999999989</v>
      </c>
      <c r="D25" s="103">
        <v>-3</v>
      </c>
      <c r="E25" s="104">
        <v>95.742000000000004</v>
      </c>
      <c r="F25" s="104">
        <v>95.82</v>
      </c>
      <c r="G25" s="103">
        <f t="shared" si="1"/>
        <v>-7.7999999999988745E-2</v>
      </c>
      <c r="H25" s="103">
        <v>-3</v>
      </c>
      <c r="I25" s="103">
        <f t="shared" si="2"/>
        <v>95.714999999999989</v>
      </c>
      <c r="J25" s="103">
        <v>3.5</v>
      </c>
      <c r="K25" s="64"/>
    </row>
    <row r="26" spans="1:11">
      <c r="A26" s="102">
        <v>23</v>
      </c>
      <c r="B26" s="103">
        <v>3.5</v>
      </c>
      <c r="C26" s="103">
        <f t="shared" si="0"/>
        <v>95.834999999999994</v>
      </c>
      <c r="D26" s="103">
        <v>-3</v>
      </c>
      <c r="E26" s="104">
        <v>95.95</v>
      </c>
      <c r="F26" s="104">
        <v>95.94</v>
      </c>
      <c r="G26" s="103">
        <f t="shared" si="1"/>
        <v>1.0000000000005116E-2</v>
      </c>
      <c r="H26" s="103">
        <v>-3</v>
      </c>
      <c r="I26" s="103">
        <f t="shared" si="2"/>
        <v>95.834999999999994</v>
      </c>
      <c r="J26" s="103">
        <v>3.5</v>
      </c>
      <c r="K26" s="64"/>
    </row>
    <row r="27" spans="1:11">
      <c r="A27" s="102">
        <v>24</v>
      </c>
      <c r="B27" s="103">
        <v>3.5</v>
      </c>
      <c r="C27" s="103">
        <f t="shared" si="0"/>
        <v>95.954999999999998</v>
      </c>
      <c r="D27" s="103">
        <v>-3</v>
      </c>
      <c r="E27" s="104">
        <v>96.064999999999998</v>
      </c>
      <c r="F27" s="104">
        <v>96.06</v>
      </c>
      <c r="G27" s="103">
        <f t="shared" si="1"/>
        <v>4.9999999999954525E-3</v>
      </c>
      <c r="H27" s="103">
        <v>-3</v>
      </c>
      <c r="I27" s="103">
        <f t="shared" si="2"/>
        <v>95.954999999999998</v>
      </c>
      <c r="J27" s="103">
        <v>3.5</v>
      </c>
      <c r="K27" s="64"/>
    </row>
    <row r="28" spans="1:11">
      <c r="A28" s="102">
        <v>25</v>
      </c>
      <c r="B28" s="103">
        <v>3.5</v>
      </c>
      <c r="C28" s="103">
        <f t="shared" si="0"/>
        <v>96.075000000000003</v>
      </c>
      <c r="D28" s="103">
        <v>-3</v>
      </c>
      <c r="E28" s="104">
        <v>96.173000000000002</v>
      </c>
      <c r="F28" s="104">
        <v>96.18</v>
      </c>
      <c r="G28" s="103">
        <f t="shared" si="1"/>
        <v>-7.0000000000050022E-3</v>
      </c>
      <c r="H28" s="103">
        <v>-3</v>
      </c>
      <c r="I28" s="103">
        <f t="shared" si="2"/>
        <v>96.075000000000003</v>
      </c>
      <c r="J28" s="103">
        <v>3.5</v>
      </c>
      <c r="K28" s="64"/>
    </row>
    <row r="29" spans="1:11">
      <c r="A29" s="102">
        <v>26</v>
      </c>
      <c r="B29" s="103">
        <v>3.5</v>
      </c>
      <c r="C29" s="103">
        <f t="shared" si="0"/>
        <v>96.146999999999991</v>
      </c>
      <c r="D29" s="103">
        <v>-3</v>
      </c>
      <c r="E29" s="104">
        <v>96.2</v>
      </c>
      <c r="F29" s="104">
        <v>96.251999999999995</v>
      </c>
      <c r="G29" s="103">
        <f t="shared" si="1"/>
        <v>-5.1999999999992497E-2</v>
      </c>
      <c r="H29" s="103">
        <v>-3</v>
      </c>
      <c r="I29" s="103">
        <f t="shared" si="2"/>
        <v>96.146999999999991</v>
      </c>
      <c r="J29" s="103">
        <v>3.5</v>
      </c>
      <c r="K29" s="64"/>
    </row>
    <row r="30" spans="1:11">
      <c r="A30" s="102">
        <v>27</v>
      </c>
      <c r="B30" s="103">
        <v>3.5</v>
      </c>
      <c r="C30" s="103">
        <f t="shared" si="0"/>
        <v>96.194000000000003</v>
      </c>
      <c r="D30" s="103">
        <v>-3</v>
      </c>
      <c r="E30" s="104">
        <v>96.221000000000004</v>
      </c>
      <c r="F30" s="104">
        <v>96.299000000000007</v>
      </c>
      <c r="G30" s="103">
        <f t="shared" si="1"/>
        <v>-7.8000000000002956E-2</v>
      </c>
      <c r="H30" s="103">
        <v>-3</v>
      </c>
      <c r="I30" s="103">
        <f t="shared" si="2"/>
        <v>96.194000000000003</v>
      </c>
      <c r="J30" s="103">
        <v>3.5</v>
      </c>
      <c r="K30" s="64"/>
    </row>
    <row r="31" spans="1:11">
      <c r="A31" s="102">
        <v>28</v>
      </c>
      <c r="B31" s="103">
        <v>3.5</v>
      </c>
      <c r="C31" s="103">
        <f t="shared" si="0"/>
        <v>96.051999999999992</v>
      </c>
      <c r="D31" s="103">
        <v>-3</v>
      </c>
      <c r="E31" s="104">
        <v>96.171999999999997</v>
      </c>
      <c r="F31" s="104">
        <v>96.156999999999996</v>
      </c>
      <c r="G31" s="103">
        <f t="shared" si="1"/>
        <v>1.5000000000000568E-2</v>
      </c>
      <c r="H31" s="103">
        <v>-3</v>
      </c>
      <c r="I31" s="103">
        <f t="shared" si="2"/>
        <v>96.051999999999992</v>
      </c>
      <c r="J31" s="103">
        <v>3.5</v>
      </c>
      <c r="K31" s="64"/>
    </row>
    <row r="32" spans="1:11">
      <c r="A32" s="102">
        <v>29</v>
      </c>
      <c r="B32" s="103">
        <v>3.5</v>
      </c>
      <c r="C32" s="103">
        <f t="shared" si="0"/>
        <v>95.980999999999995</v>
      </c>
      <c r="D32" s="103">
        <v>-3</v>
      </c>
      <c r="E32" s="104">
        <v>96.028000000000006</v>
      </c>
      <c r="F32" s="104">
        <v>96.085999999999999</v>
      </c>
      <c r="G32" s="103">
        <f t="shared" si="1"/>
        <v>-5.7999999999992724E-2</v>
      </c>
      <c r="H32" s="103">
        <v>-3</v>
      </c>
      <c r="I32" s="103">
        <f t="shared" si="2"/>
        <v>95.980999999999995</v>
      </c>
      <c r="J32" s="103">
        <v>3.5</v>
      </c>
      <c r="K32" s="64"/>
    </row>
    <row r="33" spans="1:11">
      <c r="A33" s="102">
        <v>30</v>
      </c>
      <c r="B33" s="103">
        <v>3.5</v>
      </c>
      <c r="C33" s="103">
        <f t="shared" si="0"/>
        <v>95.908999999999992</v>
      </c>
      <c r="D33" s="103">
        <v>-3</v>
      </c>
      <c r="E33" s="104">
        <v>95.918000000000006</v>
      </c>
      <c r="F33" s="104">
        <v>96.013999999999996</v>
      </c>
      <c r="G33" s="103">
        <f t="shared" si="1"/>
        <v>-9.5999999999989427E-2</v>
      </c>
      <c r="H33" s="103">
        <v>-3</v>
      </c>
      <c r="I33" s="103">
        <f t="shared" si="2"/>
        <v>95.908999999999992</v>
      </c>
      <c r="J33" s="103">
        <v>3.5</v>
      </c>
      <c r="K33" s="64"/>
    </row>
    <row r="34" spans="1:11">
      <c r="A34" s="102">
        <v>31</v>
      </c>
      <c r="B34" s="103">
        <v>3.5</v>
      </c>
      <c r="C34" s="103">
        <f t="shared" si="0"/>
        <v>95.837999999999994</v>
      </c>
      <c r="D34" s="103">
        <v>-3</v>
      </c>
      <c r="E34" s="104">
        <v>95.844999999999999</v>
      </c>
      <c r="F34" s="104">
        <v>95.942999999999998</v>
      </c>
      <c r="G34" s="103">
        <f t="shared" si="1"/>
        <v>-9.7999999999998977E-2</v>
      </c>
      <c r="H34" s="103">
        <v>-3</v>
      </c>
      <c r="I34" s="103">
        <f t="shared" si="2"/>
        <v>95.837999999999994</v>
      </c>
      <c r="J34" s="103">
        <v>3.5</v>
      </c>
      <c r="K34" s="64"/>
    </row>
    <row r="35" spans="1:11">
      <c r="A35" s="102">
        <v>32</v>
      </c>
      <c r="B35" s="103">
        <v>3.5</v>
      </c>
      <c r="C35" s="103">
        <f t="shared" si="0"/>
        <v>95.765999999999991</v>
      </c>
      <c r="D35" s="103">
        <v>-3</v>
      </c>
      <c r="E35" s="104">
        <v>95.816000000000003</v>
      </c>
      <c r="F35" s="104">
        <v>95.870999999999995</v>
      </c>
      <c r="G35" s="103">
        <f t="shared" si="1"/>
        <v>-5.499999999999261E-2</v>
      </c>
      <c r="H35" s="103">
        <v>-3</v>
      </c>
      <c r="I35" s="103">
        <f t="shared" si="2"/>
        <v>95.765999999999991</v>
      </c>
      <c r="J35" s="103">
        <v>3.5</v>
      </c>
      <c r="K35" s="64"/>
    </row>
    <row r="36" spans="1:11">
      <c r="A36" s="102">
        <v>33</v>
      </c>
      <c r="B36" s="103">
        <v>3.5</v>
      </c>
      <c r="C36" s="103">
        <f t="shared" si="0"/>
        <v>95.694999999999993</v>
      </c>
      <c r="D36" s="103">
        <v>-3</v>
      </c>
      <c r="E36" s="104">
        <v>95.772000000000006</v>
      </c>
      <c r="F36" s="104">
        <v>95.8</v>
      </c>
      <c r="G36" s="103">
        <f t="shared" si="1"/>
        <v>-2.7999999999991587E-2</v>
      </c>
      <c r="H36" s="103">
        <v>-3</v>
      </c>
      <c r="I36" s="103">
        <f t="shared" si="2"/>
        <v>95.694999999999993</v>
      </c>
      <c r="J36" s="103">
        <v>3.5</v>
      </c>
      <c r="K36" s="64"/>
    </row>
    <row r="37" spans="1:11">
      <c r="A37" s="102">
        <v>34</v>
      </c>
      <c r="B37" s="103">
        <v>3.5</v>
      </c>
      <c r="C37" s="103">
        <f t="shared" si="0"/>
        <v>95.567999999999998</v>
      </c>
      <c r="D37" s="103">
        <v>-3</v>
      </c>
      <c r="E37" s="104">
        <v>95.555000000000007</v>
      </c>
      <c r="F37" s="104">
        <v>95.673000000000002</v>
      </c>
      <c r="G37" s="103">
        <f t="shared" si="1"/>
        <v>-0.117999999999995</v>
      </c>
      <c r="H37" s="103">
        <v>-3</v>
      </c>
      <c r="I37" s="103">
        <f t="shared" si="2"/>
        <v>95.567999999999998</v>
      </c>
      <c r="J37" s="103">
        <v>3.5</v>
      </c>
      <c r="K37" s="64"/>
    </row>
    <row r="38" spans="1:11">
      <c r="A38" s="102">
        <v>35</v>
      </c>
      <c r="B38" s="103">
        <v>3.5</v>
      </c>
      <c r="C38" s="103">
        <f t="shared" si="0"/>
        <v>95.44</v>
      </c>
      <c r="D38" s="103">
        <v>-3</v>
      </c>
      <c r="E38" s="104">
        <v>95.427999999999997</v>
      </c>
      <c r="F38" s="104">
        <v>95.545000000000002</v>
      </c>
      <c r="G38" s="103">
        <f t="shared" si="1"/>
        <v>-0.11700000000000443</v>
      </c>
      <c r="H38" s="103">
        <v>-3</v>
      </c>
      <c r="I38" s="103">
        <f t="shared" si="2"/>
        <v>95.44</v>
      </c>
      <c r="J38" s="103">
        <v>3.5</v>
      </c>
      <c r="K38" s="64"/>
    </row>
    <row r="39" spans="1:11">
      <c r="A39" s="102">
        <v>36</v>
      </c>
      <c r="B39" s="103">
        <v>3.5</v>
      </c>
      <c r="C39" s="103">
        <f t="shared" si="0"/>
        <v>95.313000000000002</v>
      </c>
      <c r="D39" s="103">
        <v>-3</v>
      </c>
      <c r="E39" s="104">
        <v>95.331000000000003</v>
      </c>
      <c r="F39" s="104">
        <v>95.418000000000006</v>
      </c>
      <c r="G39" s="103">
        <f t="shared" si="1"/>
        <v>-8.7000000000003297E-2</v>
      </c>
      <c r="H39" s="103">
        <v>-3</v>
      </c>
      <c r="I39" s="103">
        <f t="shared" si="2"/>
        <v>95.313000000000002</v>
      </c>
      <c r="J39" s="103">
        <v>3.5</v>
      </c>
      <c r="K39" s="64"/>
    </row>
    <row r="40" spans="1:11">
      <c r="A40" s="102">
        <v>37</v>
      </c>
      <c r="B40" s="103">
        <v>3.5</v>
      </c>
      <c r="C40" s="103">
        <f t="shared" si="0"/>
        <v>95.185999999999993</v>
      </c>
      <c r="D40" s="103">
        <v>-3</v>
      </c>
      <c r="E40" s="104">
        <v>95.239000000000004</v>
      </c>
      <c r="F40" s="104">
        <v>95.290999999999997</v>
      </c>
      <c r="G40" s="103">
        <f t="shared" si="1"/>
        <v>-5.1999999999992497E-2</v>
      </c>
      <c r="H40" s="103">
        <v>-3</v>
      </c>
      <c r="I40" s="103">
        <f t="shared" si="2"/>
        <v>95.185999999999993</v>
      </c>
      <c r="J40" s="103">
        <v>3.5</v>
      </c>
      <c r="K40" s="64"/>
    </row>
    <row r="41" spans="1:11">
      <c r="A41" s="102">
        <v>38</v>
      </c>
      <c r="B41" s="103">
        <v>3.5</v>
      </c>
      <c r="C41" s="103">
        <f t="shared" si="0"/>
        <v>95.058999999999997</v>
      </c>
      <c r="D41" s="103">
        <v>-3</v>
      </c>
      <c r="E41" s="104">
        <v>95.176000000000002</v>
      </c>
      <c r="F41" s="104">
        <v>95.164000000000001</v>
      </c>
      <c r="G41" s="103">
        <f t="shared" si="1"/>
        <v>1.2000000000000455E-2</v>
      </c>
      <c r="H41" s="103">
        <v>-3</v>
      </c>
      <c r="I41" s="103">
        <f t="shared" si="2"/>
        <v>95.058999999999997</v>
      </c>
      <c r="J41" s="103">
        <v>3.5</v>
      </c>
      <c r="K41" s="64"/>
    </row>
    <row r="42" spans="1:11">
      <c r="A42" s="102">
        <v>39</v>
      </c>
      <c r="B42" s="103">
        <v>3.5</v>
      </c>
      <c r="C42" s="103">
        <f t="shared" si="0"/>
        <v>94.930999999999997</v>
      </c>
      <c r="D42" s="103">
        <v>-3</v>
      </c>
      <c r="E42" s="104">
        <v>95.007999999999996</v>
      </c>
      <c r="F42" s="104">
        <v>95.036000000000001</v>
      </c>
      <c r="G42" s="103">
        <f t="shared" si="1"/>
        <v>-2.8000000000005798E-2</v>
      </c>
      <c r="H42" s="103">
        <v>-3</v>
      </c>
      <c r="I42" s="103">
        <f t="shared" si="2"/>
        <v>94.930999999999997</v>
      </c>
      <c r="J42" s="103">
        <v>3.5</v>
      </c>
      <c r="K42" s="64"/>
    </row>
    <row r="43" spans="1:11">
      <c r="A43" s="102">
        <v>40</v>
      </c>
      <c r="B43" s="103">
        <v>3.5</v>
      </c>
      <c r="C43" s="103">
        <f t="shared" si="0"/>
        <v>95.804000000000002</v>
      </c>
      <c r="D43" s="103">
        <v>-3</v>
      </c>
      <c r="E43" s="104">
        <v>94.801000000000002</v>
      </c>
      <c r="F43" s="104">
        <v>95.909000000000006</v>
      </c>
      <c r="G43" s="103">
        <f t="shared" si="1"/>
        <v>-1.1080000000000041</v>
      </c>
      <c r="H43" s="103">
        <v>-3</v>
      </c>
      <c r="I43" s="103">
        <f t="shared" si="2"/>
        <v>95.804000000000002</v>
      </c>
      <c r="J43" s="103">
        <v>3.5</v>
      </c>
      <c r="K43" s="64"/>
    </row>
    <row r="44" spans="1:11">
      <c r="A44" s="102">
        <v>41</v>
      </c>
      <c r="B44" s="103">
        <v>3.5</v>
      </c>
      <c r="C44" s="103">
        <f t="shared" si="0"/>
        <v>94.676999999999992</v>
      </c>
      <c r="D44" s="103">
        <v>-3</v>
      </c>
      <c r="E44" s="104">
        <v>94.694999999999993</v>
      </c>
      <c r="F44" s="104">
        <v>94.781999999999996</v>
      </c>
      <c r="G44" s="103">
        <f t="shared" si="1"/>
        <v>-8.7000000000003297E-2</v>
      </c>
      <c r="H44" s="103">
        <v>-3</v>
      </c>
      <c r="I44" s="103">
        <f t="shared" si="2"/>
        <v>94.676999999999992</v>
      </c>
      <c r="J44" s="103">
        <v>3.5</v>
      </c>
      <c r="K44" s="64"/>
    </row>
    <row r="45" spans="1:11">
      <c r="A45" s="102">
        <v>42</v>
      </c>
      <c r="B45" s="103">
        <v>3.5</v>
      </c>
      <c r="C45" s="103">
        <f t="shared" si="0"/>
        <v>94.55</v>
      </c>
      <c r="D45" s="103">
        <v>-3</v>
      </c>
      <c r="E45" s="104">
        <v>94.563999999999993</v>
      </c>
      <c r="F45" s="104">
        <v>94.655000000000001</v>
      </c>
      <c r="G45" s="103">
        <f t="shared" si="1"/>
        <v>-9.1000000000008185E-2</v>
      </c>
      <c r="H45" s="103">
        <v>-3</v>
      </c>
      <c r="I45" s="103">
        <f t="shared" si="2"/>
        <v>94.55</v>
      </c>
      <c r="J45" s="103">
        <v>3.5</v>
      </c>
      <c r="K45" s="64"/>
    </row>
    <row r="46" spans="1:11">
      <c r="A46" s="102">
        <v>43</v>
      </c>
      <c r="B46" s="103">
        <v>3.5</v>
      </c>
      <c r="C46" s="103">
        <f t="shared" si="0"/>
        <v>94.421999999999997</v>
      </c>
      <c r="D46" s="103">
        <v>-3</v>
      </c>
      <c r="E46" s="104">
        <v>94.492000000000004</v>
      </c>
      <c r="F46" s="104">
        <v>94.527000000000001</v>
      </c>
      <c r="G46" s="103">
        <f t="shared" si="1"/>
        <v>-3.4999999999996589E-2</v>
      </c>
      <c r="H46" s="103">
        <v>-3</v>
      </c>
      <c r="I46" s="103">
        <f t="shared" si="2"/>
        <v>94.421999999999997</v>
      </c>
      <c r="J46" s="103">
        <v>3.5</v>
      </c>
      <c r="K46" s="64"/>
    </row>
    <row r="47" spans="1:11">
      <c r="A47" s="102">
        <v>44</v>
      </c>
      <c r="B47" s="103">
        <v>3.5</v>
      </c>
      <c r="C47" s="103">
        <f t="shared" si="0"/>
        <v>94.295000000000002</v>
      </c>
      <c r="D47" s="103">
        <v>-3</v>
      </c>
      <c r="E47" s="104">
        <v>94.459000000000003</v>
      </c>
      <c r="F47" s="104">
        <v>94.4</v>
      </c>
      <c r="G47" s="103">
        <f t="shared" si="1"/>
        <v>5.8999999999997499E-2</v>
      </c>
      <c r="H47" s="103">
        <v>-3</v>
      </c>
      <c r="I47" s="103">
        <f t="shared" si="2"/>
        <v>94.295000000000002</v>
      </c>
      <c r="J47" s="103">
        <v>3.5</v>
      </c>
      <c r="K47" s="64"/>
    </row>
    <row r="48" spans="1:11">
      <c r="A48" s="102">
        <v>45</v>
      </c>
      <c r="B48" s="103">
        <v>3.5</v>
      </c>
      <c r="C48" s="103">
        <f t="shared" si="0"/>
        <v>94.11399999999999</v>
      </c>
      <c r="D48" s="103">
        <v>-3</v>
      </c>
      <c r="E48" s="104">
        <v>94.591999999999999</v>
      </c>
      <c r="F48" s="104">
        <v>94.218999999999994</v>
      </c>
      <c r="G48" s="103">
        <f t="shared" si="1"/>
        <v>0.37300000000000466</v>
      </c>
      <c r="H48" s="103">
        <v>-3</v>
      </c>
      <c r="I48" s="103">
        <f t="shared" si="2"/>
        <v>94.11399999999999</v>
      </c>
      <c r="J48" s="103">
        <v>3.5</v>
      </c>
      <c r="K48" s="64"/>
    </row>
    <row r="49" spans="1:11">
      <c r="A49" s="102">
        <v>46</v>
      </c>
      <c r="B49" s="103">
        <v>3.5</v>
      </c>
      <c r="C49" s="103">
        <f t="shared" si="0"/>
        <v>93.932999999999993</v>
      </c>
      <c r="D49" s="103">
        <v>-3</v>
      </c>
      <c r="E49" s="104">
        <v>94.007999999999996</v>
      </c>
      <c r="F49" s="104">
        <v>94.037999999999997</v>
      </c>
      <c r="G49" s="103">
        <f t="shared" si="1"/>
        <v>-3.0000000000001137E-2</v>
      </c>
      <c r="H49" s="103">
        <v>-3</v>
      </c>
      <c r="I49" s="103">
        <f t="shared" si="2"/>
        <v>93.932999999999993</v>
      </c>
      <c r="J49" s="103">
        <v>3.5</v>
      </c>
      <c r="K49" s="64"/>
    </row>
    <row r="50" spans="1:11">
      <c r="A50" s="102">
        <v>47</v>
      </c>
      <c r="B50" s="103">
        <v>3.5</v>
      </c>
      <c r="C50" s="103">
        <f t="shared" si="0"/>
        <v>93.751999999999995</v>
      </c>
      <c r="D50" s="103">
        <v>-3</v>
      </c>
      <c r="E50" s="104">
        <v>94.070999999999998</v>
      </c>
      <c r="F50" s="104">
        <v>93.856999999999999</v>
      </c>
      <c r="G50" s="103">
        <f t="shared" si="1"/>
        <v>0.21399999999999864</v>
      </c>
      <c r="H50" s="103">
        <v>-3</v>
      </c>
      <c r="I50" s="103">
        <f t="shared" si="2"/>
        <v>93.751999999999995</v>
      </c>
      <c r="J50" s="103">
        <v>3.5</v>
      </c>
      <c r="K50" s="64"/>
    </row>
    <row r="51" spans="1:11">
      <c r="A51" s="102">
        <v>48</v>
      </c>
      <c r="B51" s="103">
        <v>3.5</v>
      </c>
      <c r="C51" s="103">
        <f t="shared" si="0"/>
        <v>93.570999999999998</v>
      </c>
      <c r="D51" s="103">
        <v>-3</v>
      </c>
      <c r="E51" s="104">
        <v>93.706000000000003</v>
      </c>
      <c r="F51" s="104">
        <v>93.676000000000002</v>
      </c>
      <c r="G51" s="103">
        <f t="shared" si="1"/>
        <v>3.0000000000001137E-2</v>
      </c>
      <c r="H51" s="103">
        <v>-3</v>
      </c>
      <c r="I51" s="103">
        <f t="shared" si="2"/>
        <v>93.570999999999998</v>
      </c>
      <c r="J51" s="103">
        <v>3.5</v>
      </c>
      <c r="K51" s="64"/>
    </row>
    <row r="52" spans="1:11">
      <c r="A52" s="102">
        <v>49</v>
      </c>
      <c r="B52" s="103">
        <v>3.5</v>
      </c>
      <c r="C52" s="103">
        <f t="shared" si="0"/>
        <v>93.39</v>
      </c>
      <c r="D52" s="103">
        <v>-3</v>
      </c>
      <c r="E52" s="104">
        <v>93.597999999999999</v>
      </c>
      <c r="F52" s="104">
        <v>93.495000000000005</v>
      </c>
      <c r="G52" s="103">
        <f t="shared" si="1"/>
        <v>0.10299999999999443</v>
      </c>
      <c r="H52" s="103">
        <v>-3</v>
      </c>
      <c r="I52" s="103">
        <f t="shared" si="2"/>
        <v>93.39</v>
      </c>
      <c r="J52" s="103">
        <v>3.5</v>
      </c>
      <c r="K52" s="64"/>
    </row>
    <row r="53" spans="1:11">
      <c r="A53" s="102">
        <v>50</v>
      </c>
      <c r="B53" s="103">
        <v>3.5</v>
      </c>
      <c r="C53" s="103">
        <f t="shared" si="0"/>
        <v>93.208999999999989</v>
      </c>
      <c r="D53" s="103">
        <v>-3</v>
      </c>
      <c r="E53" s="104">
        <v>93.47</v>
      </c>
      <c r="F53" s="104">
        <v>93.313999999999993</v>
      </c>
      <c r="G53" s="103">
        <f t="shared" si="1"/>
        <v>0.15600000000000591</v>
      </c>
      <c r="H53" s="103">
        <v>-3</v>
      </c>
      <c r="I53" s="103">
        <f t="shared" si="2"/>
        <v>93.208999999999989</v>
      </c>
      <c r="J53" s="103">
        <v>3.5</v>
      </c>
      <c r="K53" s="64"/>
    </row>
    <row r="54" spans="1:11">
      <c r="A54" s="102">
        <v>51</v>
      </c>
      <c r="B54" s="103">
        <v>3.5</v>
      </c>
      <c r="C54" s="103">
        <f t="shared" si="0"/>
        <v>93.027999999999992</v>
      </c>
      <c r="D54" s="103">
        <v>-3</v>
      </c>
      <c r="E54" s="104">
        <v>93.090999999999994</v>
      </c>
      <c r="F54" s="104">
        <v>93.132999999999996</v>
      </c>
      <c r="G54" s="103">
        <f t="shared" si="1"/>
        <v>-4.2000000000001592E-2</v>
      </c>
      <c r="H54" s="103">
        <v>-3</v>
      </c>
      <c r="I54" s="103">
        <f t="shared" si="2"/>
        <v>93.027999999999992</v>
      </c>
      <c r="J54" s="103">
        <v>3.5</v>
      </c>
      <c r="K54" s="64"/>
    </row>
    <row r="55" spans="1:11">
      <c r="A55" s="102">
        <v>52</v>
      </c>
      <c r="B55" s="103">
        <v>3.5</v>
      </c>
      <c r="C55" s="103">
        <f t="shared" si="0"/>
        <v>92.846999999999994</v>
      </c>
      <c r="D55" s="103">
        <v>-3</v>
      </c>
      <c r="E55" s="104">
        <v>93.332999999999998</v>
      </c>
      <c r="F55" s="104">
        <v>92.951999999999998</v>
      </c>
      <c r="G55" s="103">
        <f t="shared" si="1"/>
        <v>0.38100000000000023</v>
      </c>
      <c r="H55" s="103">
        <v>-3</v>
      </c>
      <c r="I55" s="103">
        <f t="shared" si="2"/>
        <v>92.846999999999994</v>
      </c>
      <c r="J55" s="103">
        <v>3.5</v>
      </c>
      <c r="K55" s="64"/>
    </row>
    <row r="56" spans="1:11">
      <c r="A56" s="102">
        <v>53</v>
      </c>
      <c r="B56" s="103">
        <v>3.5</v>
      </c>
      <c r="C56" s="103">
        <f t="shared" si="0"/>
        <v>92.665999999999997</v>
      </c>
      <c r="D56" s="103">
        <v>-3</v>
      </c>
      <c r="E56" s="104">
        <v>92.692999999999998</v>
      </c>
      <c r="F56" s="104">
        <v>92.771000000000001</v>
      </c>
      <c r="G56" s="103">
        <f t="shared" si="1"/>
        <v>-7.8000000000002956E-2</v>
      </c>
      <c r="H56" s="103">
        <v>-3</v>
      </c>
      <c r="I56" s="103">
        <f t="shared" si="2"/>
        <v>92.665999999999997</v>
      </c>
      <c r="J56" s="103">
        <v>3.5</v>
      </c>
      <c r="K56" s="64"/>
    </row>
    <row r="57" spans="1:11">
      <c r="A57" s="102">
        <v>54</v>
      </c>
      <c r="B57" s="103">
        <v>3.5</v>
      </c>
      <c r="C57" s="103">
        <f t="shared" si="0"/>
        <v>92.484999999999999</v>
      </c>
      <c r="D57" s="103">
        <v>-3</v>
      </c>
      <c r="E57" s="104">
        <v>92.400999999999996</v>
      </c>
      <c r="F57" s="104">
        <v>92.59</v>
      </c>
      <c r="G57" s="103">
        <f t="shared" si="1"/>
        <v>-0.18900000000000716</v>
      </c>
      <c r="H57" s="103">
        <v>-3</v>
      </c>
      <c r="I57" s="103">
        <f t="shared" si="2"/>
        <v>92.484999999999999</v>
      </c>
      <c r="J57" s="103">
        <v>3.5</v>
      </c>
      <c r="K57" s="64"/>
    </row>
    <row r="58" spans="1:11">
      <c r="A58" s="102">
        <v>55</v>
      </c>
      <c r="B58" s="103">
        <v>3.5</v>
      </c>
      <c r="C58" s="103">
        <f t="shared" si="0"/>
        <v>92.24799999999999</v>
      </c>
      <c r="D58" s="103">
        <v>-3</v>
      </c>
      <c r="E58" s="104">
        <v>92.26</v>
      </c>
      <c r="F58" s="104">
        <v>92.352999999999994</v>
      </c>
      <c r="G58" s="103">
        <f t="shared" si="1"/>
        <v>-9.2999999999989313E-2</v>
      </c>
      <c r="H58" s="103">
        <v>-3</v>
      </c>
      <c r="I58" s="103">
        <f t="shared" si="2"/>
        <v>92.24799999999999</v>
      </c>
      <c r="J58" s="103">
        <v>3.5</v>
      </c>
      <c r="K58" s="64"/>
    </row>
    <row r="59" spans="1:11">
      <c r="A59" s="102">
        <v>56</v>
      </c>
      <c r="B59" s="103">
        <v>3.5</v>
      </c>
      <c r="C59" s="103">
        <f t="shared" si="0"/>
        <v>91.953000000000003</v>
      </c>
      <c r="D59" s="103">
        <v>-3</v>
      </c>
      <c r="E59" s="104">
        <v>92.141999999999996</v>
      </c>
      <c r="F59" s="104">
        <v>92.058000000000007</v>
      </c>
      <c r="G59" s="103">
        <f t="shared" si="1"/>
        <v>8.3999999999988972E-2</v>
      </c>
      <c r="H59" s="103">
        <v>-3</v>
      </c>
      <c r="I59" s="103">
        <f t="shared" si="2"/>
        <v>91.953000000000003</v>
      </c>
      <c r="J59" s="103">
        <v>3.5</v>
      </c>
      <c r="K59" s="64"/>
    </row>
    <row r="60" spans="1:11">
      <c r="A60" s="102">
        <v>57</v>
      </c>
      <c r="B60" s="103">
        <v>3.5</v>
      </c>
      <c r="C60" s="103">
        <f t="shared" si="0"/>
        <v>91.658000000000001</v>
      </c>
      <c r="D60" s="103">
        <v>-3</v>
      </c>
      <c r="E60" s="104">
        <v>91.655000000000001</v>
      </c>
      <c r="F60" s="104">
        <v>91.763000000000005</v>
      </c>
      <c r="G60" s="103">
        <f t="shared" si="1"/>
        <v>-0.10800000000000409</v>
      </c>
      <c r="H60" s="103">
        <v>-3</v>
      </c>
      <c r="I60" s="103">
        <f t="shared" si="2"/>
        <v>91.658000000000001</v>
      </c>
      <c r="J60" s="103">
        <v>3.5</v>
      </c>
      <c r="K60" s="64"/>
    </row>
    <row r="61" spans="1:11">
      <c r="A61" s="102">
        <v>58</v>
      </c>
      <c r="B61" s="103">
        <v>3.5</v>
      </c>
      <c r="C61" s="103">
        <f t="shared" si="0"/>
        <v>91.363</v>
      </c>
      <c r="D61" s="103">
        <v>-3</v>
      </c>
      <c r="E61" s="104">
        <v>91.495999999999995</v>
      </c>
      <c r="F61" s="104">
        <v>91.468000000000004</v>
      </c>
      <c r="G61" s="103">
        <f t="shared" si="1"/>
        <v>2.7999999999991587E-2</v>
      </c>
      <c r="H61" s="103">
        <v>-3</v>
      </c>
      <c r="I61" s="103">
        <f t="shared" si="2"/>
        <v>91.363</v>
      </c>
      <c r="J61" s="103">
        <v>3.5</v>
      </c>
      <c r="K61" s="64"/>
    </row>
    <row r="62" spans="1:11">
      <c r="A62" s="102">
        <v>59</v>
      </c>
      <c r="B62" s="103">
        <v>3.5</v>
      </c>
      <c r="C62" s="103">
        <f t="shared" si="0"/>
        <v>91.069000000000003</v>
      </c>
      <c r="D62" s="103">
        <v>-3</v>
      </c>
      <c r="E62" s="104">
        <v>91.661000000000001</v>
      </c>
      <c r="F62" s="104">
        <v>91.174000000000007</v>
      </c>
      <c r="G62" s="103">
        <f t="shared" si="1"/>
        <v>0.48699999999999477</v>
      </c>
      <c r="H62" s="103">
        <v>-3</v>
      </c>
      <c r="I62" s="103">
        <f t="shared" si="2"/>
        <v>91.069000000000003</v>
      </c>
      <c r="J62" s="103">
        <v>3.5</v>
      </c>
      <c r="K62" s="64"/>
    </row>
    <row r="63" spans="1:11">
      <c r="A63" s="102">
        <v>60</v>
      </c>
      <c r="B63" s="103">
        <v>3.5</v>
      </c>
      <c r="C63" s="103">
        <f t="shared" si="0"/>
        <v>90.774000000000001</v>
      </c>
      <c r="D63" s="103">
        <v>-3</v>
      </c>
      <c r="E63" s="104">
        <v>90.826999999999998</v>
      </c>
      <c r="F63" s="104">
        <v>90.879000000000005</v>
      </c>
      <c r="G63" s="103">
        <f t="shared" si="1"/>
        <v>-5.2000000000006708E-2</v>
      </c>
      <c r="H63" s="103">
        <v>-3</v>
      </c>
      <c r="I63" s="103">
        <f t="shared" si="2"/>
        <v>90.774000000000001</v>
      </c>
      <c r="J63" s="103">
        <v>3.5</v>
      </c>
      <c r="K63" s="64"/>
    </row>
    <row r="64" spans="1:11">
      <c r="A64" s="102">
        <v>61</v>
      </c>
      <c r="B64" s="103">
        <v>3.5</v>
      </c>
      <c r="C64" s="103">
        <f t="shared" si="0"/>
        <v>90.478999999999999</v>
      </c>
      <c r="D64" s="103">
        <v>-3</v>
      </c>
      <c r="E64" s="104">
        <v>90.724999999999994</v>
      </c>
      <c r="F64" s="104">
        <v>90.584000000000003</v>
      </c>
      <c r="G64" s="103">
        <f t="shared" si="1"/>
        <v>0.14099999999999113</v>
      </c>
      <c r="H64" s="103">
        <v>-3</v>
      </c>
      <c r="I64" s="103">
        <f t="shared" si="2"/>
        <v>90.478999999999999</v>
      </c>
      <c r="J64" s="103">
        <v>3.5</v>
      </c>
      <c r="K64" s="64"/>
    </row>
    <row r="65" spans="1:11">
      <c r="A65" s="102">
        <v>62</v>
      </c>
      <c r="B65" s="103">
        <v>3.5</v>
      </c>
      <c r="C65" s="103">
        <f t="shared" si="0"/>
        <v>90.183999999999997</v>
      </c>
      <c r="D65" s="103">
        <v>-3</v>
      </c>
      <c r="E65" s="104">
        <v>90.626999999999995</v>
      </c>
      <c r="F65" s="104">
        <v>90.289000000000001</v>
      </c>
      <c r="G65" s="103">
        <f t="shared" si="1"/>
        <v>0.33799999999999386</v>
      </c>
      <c r="H65" s="103">
        <v>-3</v>
      </c>
      <c r="I65" s="103">
        <f t="shared" si="2"/>
        <v>90.183999999999997</v>
      </c>
      <c r="J65" s="103">
        <v>3.5</v>
      </c>
      <c r="K65" s="64"/>
    </row>
    <row r="66" spans="1:11">
      <c r="A66" s="102">
        <v>63</v>
      </c>
      <c r="B66" s="103">
        <v>3.5</v>
      </c>
      <c r="C66" s="103">
        <f t="shared" si="0"/>
        <v>89.89</v>
      </c>
      <c r="D66" s="103">
        <v>-3</v>
      </c>
      <c r="E66" s="104">
        <v>89.915000000000006</v>
      </c>
      <c r="F66" s="104">
        <v>89.995000000000005</v>
      </c>
      <c r="G66" s="103">
        <f t="shared" si="1"/>
        <v>-7.9999999999998295E-2</v>
      </c>
      <c r="H66" s="103">
        <v>-3</v>
      </c>
      <c r="I66" s="103">
        <f t="shared" si="2"/>
        <v>89.89</v>
      </c>
      <c r="J66" s="103">
        <v>3.5</v>
      </c>
      <c r="K66" s="64"/>
    </row>
    <row r="67" spans="1:11">
      <c r="A67" s="102">
        <v>64</v>
      </c>
      <c r="B67" s="103">
        <v>3.5</v>
      </c>
      <c r="C67" s="103">
        <f t="shared" si="0"/>
        <v>89.594999999999999</v>
      </c>
      <c r="D67" s="103">
        <v>-3</v>
      </c>
      <c r="E67" s="104">
        <v>89.721000000000004</v>
      </c>
      <c r="F67" s="104">
        <v>89.7</v>
      </c>
      <c r="G67" s="103">
        <f t="shared" si="1"/>
        <v>2.1000000000000796E-2</v>
      </c>
      <c r="H67" s="103">
        <v>-3</v>
      </c>
      <c r="I67" s="103">
        <f t="shared" si="2"/>
        <v>89.594999999999999</v>
      </c>
      <c r="J67" s="103">
        <v>3.5</v>
      </c>
      <c r="K67" s="64"/>
    </row>
    <row r="68" spans="1:11">
      <c r="A68" s="102">
        <v>65</v>
      </c>
      <c r="B68" s="103">
        <v>3.5</v>
      </c>
      <c r="C68" s="103">
        <f t="shared" ref="C68:C86" si="3">F68+((D68/100)*B68)</f>
        <v>89.24499999999999</v>
      </c>
      <c r="D68" s="103">
        <v>-3</v>
      </c>
      <c r="E68" s="104">
        <v>89.731999999999999</v>
      </c>
      <c r="F68" s="104">
        <v>89.35</v>
      </c>
      <c r="G68" s="103">
        <f t="shared" ref="G68:G86" si="4">E68-F68</f>
        <v>0.382000000000005</v>
      </c>
      <c r="H68" s="103">
        <v>-3</v>
      </c>
      <c r="I68" s="103">
        <f t="shared" si="2"/>
        <v>89.24499999999999</v>
      </c>
      <c r="J68" s="103">
        <v>3.5</v>
      </c>
      <c r="K68" s="64"/>
    </row>
    <row r="69" spans="1:11">
      <c r="A69" s="102">
        <v>66</v>
      </c>
      <c r="B69" s="103">
        <v>3.5</v>
      </c>
      <c r="C69" s="103">
        <f t="shared" si="3"/>
        <v>88.894999999999996</v>
      </c>
      <c r="D69" s="103">
        <v>-3</v>
      </c>
      <c r="E69" s="104">
        <v>88.962000000000003</v>
      </c>
      <c r="F69" s="104">
        <v>89</v>
      </c>
      <c r="G69" s="103">
        <f t="shared" si="4"/>
        <v>-3.7999999999996703E-2</v>
      </c>
      <c r="H69" s="103">
        <v>-3</v>
      </c>
      <c r="I69" s="103">
        <f t="shared" ref="I69:I86" si="5">F69+((H69/100)*J69)</f>
        <v>88.894999999999996</v>
      </c>
      <c r="J69" s="103">
        <v>3.5</v>
      </c>
      <c r="K69" s="64"/>
    </row>
    <row r="70" spans="1:11">
      <c r="A70" s="102">
        <v>67</v>
      </c>
      <c r="B70" s="103">
        <v>3.5</v>
      </c>
      <c r="C70" s="103">
        <f t="shared" si="3"/>
        <v>88.545000000000002</v>
      </c>
      <c r="D70" s="103">
        <v>-3</v>
      </c>
      <c r="E70" s="104">
        <v>88.694999999999993</v>
      </c>
      <c r="F70" s="104">
        <v>88.65</v>
      </c>
      <c r="G70" s="103">
        <f t="shared" si="4"/>
        <v>4.4999999999987494E-2</v>
      </c>
      <c r="H70" s="103">
        <v>-3</v>
      </c>
      <c r="I70" s="103">
        <f t="shared" si="5"/>
        <v>88.545000000000002</v>
      </c>
      <c r="J70" s="103">
        <v>3.5</v>
      </c>
      <c r="K70" s="64"/>
    </row>
    <row r="71" spans="1:11">
      <c r="A71" s="102">
        <v>68</v>
      </c>
      <c r="B71" s="103">
        <v>3.5</v>
      </c>
      <c r="C71" s="103">
        <f t="shared" si="3"/>
        <v>88.194999999999993</v>
      </c>
      <c r="D71" s="103">
        <v>-3</v>
      </c>
      <c r="E71" s="104">
        <v>88.522000000000006</v>
      </c>
      <c r="F71" s="104">
        <v>88.3</v>
      </c>
      <c r="G71" s="103">
        <f t="shared" si="4"/>
        <v>0.22200000000000841</v>
      </c>
      <c r="H71" s="103">
        <v>-3</v>
      </c>
      <c r="I71" s="103">
        <f t="shared" si="5"/>
        <v>88.194999999999993</v>
      </c>
      <c r="J71" s="103">
        <v>3.5</v>
      </c>
      <c r="K71" s="64"/>
    </row>
    <row r="72" spans="1:11">
      <c r="A72" s="102">
        <v>69</v>
      </c>
      <c r="B72" s="103">
        <v>3.5</v>
      </c>
      <c r="C72" s="103">
        <f t="shared" si="3"/>
        <v>87.844999999999999</v>
      </c>
      <c r="D72" s="103">
        <v>-3</v>
      </c>
      <c r="E72" s="104">
        <v>87.766999999999996</v>
      </c>
      <c r="F72" s="104">
        <v>87.95</v>
      </c>
      <c r="G72" s="103">
        <f t="shared" si="4"/>
        <v>-0.18300000000000693</v>
      </c>
      <c r="H72" s="103">
        <v>-3</v>
      </c>
      <c r="I72" s="103">
        <f t="shared" si="5"/>
        <v>87.844999999999999</v>
      </c>
      <c r="J72" s="103">
        <v>3.5</v>
      </c>
      <c r="K72" s="64"/>
    </row>
    <row r="73" spans="1:11">
      <c r="A73" s="102">
        <v>70</v>
      </c>
      <c r="B73" s="103">
        <v>3.5</v>
      </c>
      <c r="C73" s="103">
        <f t="shared" si="3"/>
        <v>87.49499999999999</v>
      </c>
      <c r="D73" s="103">
        <v>-3</v>
      </c>
      <c r="E73" s="104">
        <v>87.626999999999995</v>
      </c>
      <c r="F73" s="104">
        <v>87.6</v>
      </c>
      <c r="G73" s="103">
        <f t="shared" si="4"/>
        <v>2.7000000000001023E-2</v>
      </c>
      <c r="H73" s="103">
        <v>-3</v>
      </c>
      <c r="I73" s="103">
        <f t="shared" si="5"/>
        <v>87.49499999999999</v>
      </c>
      <c r="J73" s="103">
        <v>3.5</v>
      </c>
      <c r="K73" s="64"/>
    </row>
    <row r="74" spans="1:11">
      <c r="A74" s="102">
        <v>71</v>
      </c>
      <c r="B74" s="103">
        <v>3.5</v>
      </c>
      <c r="C74" s="103">
        <f t="shared" si="3"/>
        <v>87.063999999999993</v>
      </c>
      <c r="D74" s="103">
        <v>-3</v>
      </c>
      <c r="E74" s="104">
        <v>87.146000000000001</v>
      </c>
      <c r="F74" s="104">
        <v>87.168999999999997</v>
      </c>
      <c r="G74" s="103">
        <f t="shared" si="4"/>
        <v>-2.2999999999996135E-2</v>
      </c>
      <c r="H74" s="103">
        <v>-3</v>
      </c>
      <c r="I74" s="103">
        <f t="shared" si="5"/>
        <v>87.063999999999993</v>
      </c>
      <c r="J74" s="103">
        <v>3.5</v>
      </c>
      <c r="K74" s="64"/>
    </row>
    <row r="75" spans="1:11">
      <c r="A75" s="102">
        <v>72</v>
      </c>
      <c r="B75" s="103">
        <v>3.5</v>
      </c>
      <c r="C75" s="103">
        <f t="shared" si="3"/>
        <v>86.632999999999996</v>
      </c>
      <c r="D75" s="103">
        <v>-3</v>
      </c>
      <c r="E75" s="104">
        <v>86.686999999999998</v>
      </c>
      <c r="F75" s="104">
        <v>86.738</v>
      </c>
      <c r="G75" s="103">
        <f t="shared" si="4"/>
        <v>-5.1000000000001933E-2</v>
      </c>
      <c r="H75" s="103">
        <v>-3</v>
      </c>
      <c r="I75" s="103">
        <f t="shared" si="5"/>
        <v>86.632999999999996</v>
      </c>
      <c r="J75" s="103">
        <v>3.5</v>
      </c>
      <c r="K75" s="64"/>
    </row>
    <row r="76" spans="1:11">
      <c r="A76" s="102">
        <v>73</v>
      </c>
      <c r="B76" s="103">
        <v>3.5</v>
      </c>
      <c r="C76" s="103">
        <f t="shared" si="3"/>
        <v>86.203000000000003</v>
      </c>
      <c r="D76" s="103">
        <v>-3</v>
      </c>
      <c r="E76" s="104">
        <v>86.569000000000003</v>
      </c>
      <c r="F76" s="104">
        <v>86.308000000000007</v>
      </c>
      <c r="G76" s="103">
        <f t="shared" si="4"/>
        <v>0.26099999999999568</v>
      </c>
      <c r="H76" s="103">
        <v>-3</v>
      </c>
      <c r="I76" s="103">
        <f t="shared" si="5"/>
        <v>86.203000000000003</v>
      </c>
      <c r="J76" s="103">
        <v>3.5</v>
      </c>
      <c r="K76" s="64"/>
    </row>
    <row r="77" spans="1:11">
      <c r="A77" s="102">
        <v>74</v>
      </c>
      <c r="B77" s="103">
        <v>3.5</v>
      </c>
      <c r="C77" s="103">
        <f t="shared" si="3"/>
        <v>85.771999999999991</v>
      </c>
      <c r="D77" s="103">
        <v>-3</v>
      </c>
      <c r="E77" s="104">
        <v>85.807000000000002</v>
      </c>
      <c r="F77" s="104">
        <v>85.876999999999995</v>
      </c>
      <c r="G77" s="103">
        <f t="shared" si="4"/>
        <v>-6.9999999999993179E-2</v>
      </c>
      <c r="H77" s="103">
        <v>-3</v>
      </c>
      <c r="I77" s="103">
        <f t="shared" si="5"/>
        <v>85.771999999999991</v>
      </c>
      <c r="J77" s="103">
        <v>3.5</v>
      </c>
      <c r="K77" s="64"/>
    </row>
    <row r="78" spans="1:11">
      <c r="A78" s="102">
        <v>75</v>
      </c>
      <c r="B78" s="103">
        <v>3.5</v>
      </c>
      <c r="C78" s="103">
        <f t="shared" si="3"/>
        <v>85.340999999999994</v>
      </c>
      <c r="D78" s="103">
        <v>-3</v>
      </c>
      <c r="E78" s="104">
        <v>85.641999999999996</v>
      </c>
      <c r="F78" s="104">
        <v>85.445999999999998</v>
      </c>
      <c r="G78" s="103">
        <f t="shared" si="4"/>
        <v>0.19599999999999795</v>
      </c>
      <c r="H78" s="103">
        <v>-3</v>
      </c>
      <c r="I78" s="103">
        <f t="shared" si="5"/>
        <v>85.340999999999994</v>
      </c>
      <c r="J78" s="103">
        <v>3.5</v>
      </c>
      <c r="K78" s="64"/>
    </row>
    <row r="79" spans="1:11">
      <c r="A79" s="102">
        <v>76</v>
      </c>
      <c r="B79" s="103">
        <v>3.5</v>
      </c>
      <c r="C79" s="103">
        <f t="shared" si="3"/>
        <v>84.932000000000002</v>
      </c>
      <c r="D79" s="103">
        <v>-3</v>
      </c>
      <c r="E79" s="104">
        <v>84.974999999999994</v>
      </c>
      <c r="F79" s="104">
        <v>85.037000000000006</v>
      </c>
      <c r="G79" s="103">
        <f t="shared" si="4"/>
        <v>-6.2000000000011823E-2</v>
      </c>
      <c r="H79" s="103">
        <v>-3</v>
      </c>
      <c r="I79" s="103">
        <f t="shared" si="5"/>
        <v>84.932000000000002</v>
      </c>
      <c r="J79" s="103">
        <v>3.5</v>
      </c>
      <c r="K79" s="64"/>
    </row>
    <row r="80" spans="1:11">
      <c r="A80" s="102">
        <v>77</v>
      </c>
      <c r="B80" s="103">
        <v>3.5</v>
      </c>
      <c r="C80" s="103">
        <f t="shared" si="3"/>
        <v>84.673999999999992</v>
      </c>
      <c r="D80" s="103">
        <v>-3</v>
      </c>
      <c r="E80" s="104">
        <v>84.662000000000006</v>
      </c>
      <c r="F80" s="104">
        <v>84.778999999999996</v>
      </c>
      <c r="G80" s="103">
        <f t="shared" si="4"/>
        <v>-0.11699999999999022</v>
      </c>
      <c r="H80" s="103">
        <v>-3</v>
      </c>
      <c r="I80" s="103">
        <f t="shared" si="5"/>
        <v>84.673999999999992</v>
      </c>
      <c r="J80" s="103">
        <v>3.5</v>
      </c>
      <c r="K80" s="64"/>
    </row>
    <row r="81" spans="1:12">
      <c r="A81" s="102">
        <v>78</v>
      </c>
      <c r="B81" s="103">
        <v>3.5</v>
      </c>
      <c r="C81" s="103">
        <f t="shared" si="3"/>
        <v>84.566000000000003</v>
      </c>
      <c r="D81" s="103">
        <v>-3</v>
      </c>
      <c r="E81" s="104">
        <v>84.54</v>
      </c>
      <c r="F81" s="104">
        <v>84.671000000000006</v>
      </c>
      <c r="G81" s="103">
        <f t="shared" si="4"/>
        <v>-0.13100000000000023</v>
      </c>
      <c r="H81" s="103">
        <v>-3</v>
      </c>
      <c r="I81" s="103">
        <f t="shared" si="5"/>
        <v>84.566000000000003</v>
      </c>
      <c r="J81" s="103">
        <v>3.5</v>
      </c>
      <c r="K81" s="64"/>
    </row>
    <row r="82" spans="1:12">
      <c r="A82" s="102">
        <v>79</v>
      </c>
      <c r="B82" s="103">
        <v>3.5</v>
      </c>
      <c r="C82" s="103">
        <f t="shared" si="3"/>
        <v>84.480999999999995</v>
      </c>
      <c r="D82" s="103">
        <v>-3</v>
      </c>
      <c r="E82" s="104">
        <v>84.646000000000001</v>
      </c>
      <c r="F82" s="104">
        <v>84.585999999999999</v>
      </c>
      <c r="G82" s="103">
        <f t="shared" si="4"/>
        <v>6.0000000000002274E-2</v>
      </c>
      <c r="H82" s="103">
        <v>-3</v>
      </c>
      <c r="I82" s="103">
        <f t="shared" si="5"/>
        <v>84.480999999999995</v>
      </c>
      <c r="J82" s="103">
        <v>3.5</v>
      </c>
      <c r="K82" s="64"/>
    </row>
    <row r="83" spans="1:12">
      <c r="A83" s="102">
        <v>80</v>
      </c>
      <c r="B83" s="103">
        <v>3.5</v>
      </c>
      <c r="C83" s="103">
        <f t="shared" si="3"/>
        <v>84.292999999999992</v>
      </c>
      <c r="D83" s="103">
        <v>-3</v>
      </c>
      <c r="E83" s="104">
        <v>84.45</v>
      </c>
      <c r="F83" s="104">
        <v>84.397999999999996</v>
      </c>
      <c r="G83" s="103">
        <f t="shared" si="4"/>
        <v>5.2000000000006708E-2</v>
      </c>
      <c r="H83" s="103">
        <v>-3</v>
      </c>
      <c r="I83" s="103">
        <f t="shared" si="5"/>
        <v>84.292999999999992</v>
      </c>
      <c r="J83" s="103">
        <v>3.5</v>
      </c>
      <c r="K83" s="64"/>
    </row>
    <row r="84" spans="1:12">
      <c r="A84" s="102">
        <v>81</v>
      </c>
      <c r="B84" s="103">
        <v>3.5</v>
      </c>
      <c r="C84" s="103">
        <f t="shared" si="3"/>
        <v>83.899999999999991</v>
      </c>
      <c r="D84" s="103">
        <v>-3</v>
      </c>
      <c r="E84" s="104">
        <v>83.733000000000004</v>
      </c>
      <c r="F84" s="104">
        <v>84.004999999999995</v>
      </c>
      <c r="G84" s="103">
        <f t="shared" si="4"/>
        <v>-0.27199999999999136</v>
      </c>
      <c r="H84" s="103">
        <v>-3</v>
      </c>
      <c r="I84" s="103">
        <f t="shared" si="5"/>
        <v>83.899999999999991</v>
      </c>
      <c r="J84" s="103">
        <v>3.5</v>
      </c>
      <c r="K84" s="64"/>
    </row>
    <row r="85" spans="1:12">
      <c r="A85" s="102">
        <v>82</v>
      </c>
      <c r="B85" s="103">
        <v>3.5</v>
      </c>
      <c r="C85" s="103">
        <f t="shared" si="3"/>
        <v>83.405000000000001</v>
      </c>
      <c r="D85" s="103">
        <v>-3</v>
      </c>
      <c r="E85" s="104">
        <v>83.268000000000001</v>
      </c>
      <c r="F85" s="104">
        <v>83.51</v>
      </c>
      <c r="G85" s="103">
        <f t="shared" si="4"/>
        <v>-0.24200000000000443</v>
      </c>
      <c r="H85" s="103">
        <v>-3</v>
      </c>
      <c r="I85" s="103">
        <f t="shared" si="5"/>
        <v>83.405000000000001</v>
      </c>
      <c r="J85" s="103">
        <v>3.5</v>
      </c>
      <c r="K85" s="64"/>
    </row>
    <row r="86" spans="1:12">
      <c r="A86" s="105" t="s">
        <v>74</v>
      </c>
      <c r="B86" s="106">
        <v>3.5</v>
      </c>
      <c r="C86" s="106">
        <f t="shared" si="3"/>
        <v>83.094999999999999</v>
      </c>
      <c r="D86" s="106">
        <v>-3</v>
      </c>
      <c r="E86" s="107">
        <v>83.213999999999999</v>
      </c>
      <c r="F86" s="107">
        <v>83.2</v>
      </c>
      <c r="G86" s="106">
        <f t="shared" si="4"/>
        <v>1.3999999999995794E-2</v>
      </c>
      <c r="H86" s="106">
        <v>-3</v>
      </c>
      <c r="I86" s="106">
        <f t="shared" si="5"/>
        <v>83.094999999999999</v>
      </c>
      <c r="J86" s="106">
        <v>3.5</v>
      </c>
      <c r="K86" s="64"/>
    </row>
    <row r="87" spans="1:12">
      <c r="B87" s="64"/>
      <c r="C87" s="64"/>
      <c r="D87" s="64"/>
      <c r="E87" s="66"/>
      <c r="F87" s="66"/>
      <c r="G87" s="64"/>
      <c r="H87" s="64"/>
      <c r="I87" s="64"/>
      <c r="J87" s="64"/>
      <c r="K87" s="64"/>
      <c r="L87" s="64"/>
    </row>
  </sheetData>
  <mergeCells count="4">
    <mergeCell ref="E1:F1"/>
    <mergeCell ref="B1:D1"/>
    <mergeCell ref="H1:J1"/>
    <mergeCell ref="A1:A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48576"/>
  <sheetViews>
    <sheetView showGridLines="0" topLeftCell="A151" workbookViewId="0">
      <selection activeCell="F24" sqref="F24"/>
    </sheetView>
  </sheetViews>
  <sheetFormatPr defaultRowHeight="15"/>
  <cols>
    <col min="1" max="1" width="9.140625" style="59"/>
    <col min="2" max="5" width="13.28515625" customWidth="1"/>
    <col min="6" max="7" width="12.5703125" style="59" customWidth="1"/>
    <col min="8" max="8" width="14.42578125" customWidth="1"/>
    <col min="9" max="10" width="12.7109375" customWidth="1"/>
  </cols>
  <sheetData>
    <row r="1" spans="1:14" ht="30" customHeight="1">
      <c r="A1" s="469" t="s">
        <v>88</v>
      </c>
      <c r="B1" s="470"/>
      <c r="C1" s="470"/>
      <c r="D1" s="470"/>
      <c r="E1" s="470"/>
      <c r="F1" s="470"/>
      <c r="G1" s="470"/>
      <c r="H1" s="470"/>
      <c r="I1" s="470"/>
      <c r="J1" s="471"/>
    </row>
    <row r="2" spans="1:14" s="62" customFormat="1" ht="30">
      <c r="A2" s="89" t="s">
        <v>73</v>
      </c>
      <c r="B2" s="90" t="s">
        <v>79</v>
      </c>
      <c r="C2" s="90" t="s">
        <v>80</v>
      </c>
      <c r="D2" s="90" t="s">
        <v>81</v>
      </c>
      <c r="E2" s="90" t="s">
        <v>82</v>
      </c>
      <c r="F2" s="90" t="s">
        <v>83</v>
      </c>
      <c r="G2" s="90" t="s">
        <v>84</v>
      </c>
      <c r="H2" s="90" t="s">
        <v>85</v>
      </c>
      <c r="I2" s="90" t="s">
        <v>86</v>
      </c>
      <c r="J2" s="90" t="s">
        <v>87</v>
      </c>
    </row>
    <row r="3" spans="1:14">
      <c r="A3" s="82">
        <v>0</v>
      </c>
      <c r="B3" s="83">
        <v>0</v>
      </c>
      <c r="C3" s="83">
        <f>B3</f>
        <v>0</v>
      </c>
      <c r="D3" s="83">
        <v>0</v>
      </c>
      <c r="E3" s="84">
        <f>D3</f>
        <v>0</v>
      </c>
      <c r="F3" s="85"/>
      <c r="G3" s="85"/>
      <c r="H3" s="86"/>
      <c r="I3" s="86"/>
      <c r="J3" s="87"/>
      <c r="K3" s="70"/>
      <c r="L3" s="65"/>
      <c r="M3" s="65"/>
      <c r="N3" s="65"/>
    </row>
    <row r="4" spans="1:14">
      <c r="A4" s="73"/>
      <c r="B4" s="74"/>
      <c r="C4" s="74"/>
      <c r="D4" s="74"/>
      <c r="E4" s="79"/>
      <c r="F4" s="76">
        <v>10</v>
      </c>
      <c r="G4" s="76">
        <f>TRUNC(((B3+B5)/2)*20,3)</f>
        <v>0</v>
      </c>
      <c r="H4" s="76">
        <f>G4</f>
        <v>0</v>
      </c>
      <c r="I4" s="76">
        <f>TRUNC(((D3+D5)/2)*20,3)</f>
        <v>-8.89</v>
      </c>
      <c r="J4" s="80">
        <f>I4</f>
        <v>-8.89</v>
      </c>
      <c r="K4" s="70"/>
      <c r="L4" s="65"/>
      <c r="M4" s="65"/>
      <c r="N4" s="65"/>
    </row>
    <row r="5" spans="1:14">
      <c r="A5" s="73">
        <v>1</v>
      </c>
      <c r="B5" s="74">
        <v>0</v>
      </c>
      <c r="C5" s="74">
        <f>C3+B5</f>
        <v>0</v>
      </c>
      <c r="D5" s="74">
        <v>-0.88900000000006685</v>
      </c>
      <c r="E5" s="75">
        <f>E3+D5</f>
        <v>-0.88900000000006685</v>
      </c>
      <c r="F5" s="76"/>
      <c r="G5" s="76"/>
      <c r="H5" s="77"/>
      <c r="I5" s="77"/>
      <c r="J5" s="78"/>
      <c r="K5" s="70"/>
      <c r="L5" s="65"/>
      <c r="M5" s="65"/>
      <c r="N5" s="65"/>
    </row>
    <row r="6" spans="1:14">
      <c r="A6" s="73"/>
      <c r="B6" s="74"/>
      <c r="C6" s="74"/>
      <c r="D6" s="74"/>
      <c r="E6" s="79"/>
      <c r="F6" s="76">
        <v>10</v>
      </c>
      <c r="G6" s="76">
        <f>TRUNC(((B5+B7)/2)*20,3)</f>
        <v>0</v>
      </c>
      <c r="H6" s="74">
        <f>H4+G6</f>
        <v>0</v>
      </c>
      <c r="I6" s="76">
        <f>TRUNC(((D5+D7)/2)*20,3)</f>
        <v>-19.04</v>
      </c>
      <c r="J6" s="81">
        <f>J4+I6</f>
        <v>-27.93</v>
      </c>
      <c r="K6" s="70"/>
      <c r="L6" s="65"/>
      <c r="M6" s="65"/>
      <c r="N6" s="65"/>
    </row>
    <row r="7" spans="1:14">
      <c r="A7" s="73">
        <v>2</v>
      </c>
      <c r="B7" s="74">
        <v>0</v>
      </c>
      <c r="C7" s="74">
        <f>C5+B7</f>
        <v>0</v>
      </c>
      <c r="D7" s="74">
        <v>-1.0149999999999721</v>
      </c>
      <c r="E7" s="75">
        <f>E5+D7</f>
        <v>-1.904000000000039</v>
      </c>
      <c r="F7" s="76"/>
      <c r="G7" s="76"/>
      <c r="H7" s="77"/>
      <c r="I7" s="77"/>
      <c r="J7" s="78"/>
      <c r="K7" s="70"/>
      <c r="L7" s="65"/>
      <c r="M7" s="65"/>
      <c r="N7" s="65"/>
    </row>
    <row r="8" spans="1:14">
      <c r="A8" s="73"/>
      <c r="B8" s="74"/>
      <c r="C8" s="74"/>
      <c r="D8" s="74"/>
      <c r="E8" s="79"/>
      <c r="F8" s="76">
        <v>10</v>
      </c>
      <c r="G8" s="76">
        <f>TRUNC(((B7+B9)/2)*20,3)</f>
        <v>6.3689999999999998</v>
      </c>
      <c r="H8" s="74">
        <f>H6+G8</f>
        <v>6.3689999999999998</v>
      </c>
      <c r="I8" s="76">
        <f>TRUNC(((D7+D9)/2)*20,3)</f>
        <v>-10.148999999999999</v>
      </c>
      <c r="J8" s="81">
        <f>J6+I8</f>
        <v>-38.079000000000001</v>
      </c>
      <c r="K8" s="70"/>
      <c r="L8" s="65"/>
      <c r="M8" s="65"/>
      <c r="N8" s="65"/>
    </row>
    <row r="9" spans="1:14">
      <c r="A9" s="73">
        <v>3</v>
      </c>
      <c r="B9" s="74">
        <v>0.63699999999995782</v>
      </c>
      <c r="C9" s="74">
        <f>C7+B9</f>
        <v>0.63699999999995782</v>
      </c>
      <c r="D9" s="74">
        <v>0</v>
      </c>
      <c r="E9" s="75">
        <f>E7+D9</f>
        <v>-1.904000000000039</v>
      </c>
      <c r="F9" s="76"/>
      <c r="G9" s="76"/>
      <c r="H9" s="74"/>
      <c r="I9" s="76"/>
      <c r="J9" s="81"/>
      <c r="K9" s="70"/>
      <c r="L9" s="65"/>
      <c r="M9" s="65"/>
      <c r="N9" s="65"/>
    </row>
    <row r="10" spans="1:14">
      <c r="A10" s="73"/>
      <c r="B10" s="74"/>
      <c r="C10" s="74"/>
      <c r="D10" s="74"/>
      <c r="E10" s="79"/>
      <c r="F10" s="76">
        <v>10</v>
      </c>
      <c r="G10" s="76">
        <f>TRUNC(((B9+B11)/2)*20,3)</f>
        <v>23.239000000000001</v>
      </c>
      <c r="H10" s="74">
        <f>H8+G10</f>
        <v>29.608000000000001</v>
      </c>
      <c r="I10" s="76">
        <f>TRUNC(((D9+D11)/2)*20,3)</f>
        <v>0</v>
      </c>
      <c r="J10" s="81">
        <f>J8+I10</f>
        <v>-38.079000000000001</v>
      </c>
      <c r="K10" s="70"/>
      <c r="L10" s="65"/>
      <c r="M10" s="65"/>
      <c r="N10" s="65"/>
    </row>
    <row r="11" spans="1:14">
      <c r="A11" s="73">
        <v>4</v>
      </c>
      <c r="B11" s="74">
        <v>1.6869999999999976</v>
      </c>
      <c r="C11" s="74">
        <f>C9+B11</f>
        <v>2.3239999999999554</v>
      </c>
      <c r="D11" s="74">
        <v>0</v>
      </c>
      <c r="E11" s="75">
        <f>E9+D11</f>
        <v>-1.904000000000039</v>
      </c>
      <c r="F11" s="76"/>
      <c r="G11" s="76"/>
      <c r="H11" s="74"/>
      <c r="I11" s="76"/>
      <c r="J11" s="81"/>
      <c r="K11" s="70"/>
      <c r="L11" s="65"/>
      <c r="M11" s="65"/>
      <c r="N11" s="65"/>
    </row>
    <row r="12" spans="1:14">
      <c r="A12" s="73"/>
      <c r="B12" s="74"/>
      <c r="C12" s="74"/>
      <c r="D12" s="74"/>
      <c r="E12" s="79"/>
      <c r="F12" s="76">
        <v>10</v>
      </c>
      <c r="G12" s="76">
        <f>TRUNC(((B11+B13)/2)*20,3)</f>
        <v>24.99</v>
      </c>
      <c r="H12" s="74">
        <f>H10+G12</f>
        <v>54.597999999999999</v>
      </c>
      <c r="I12" s="76">
        <f>TRUNC(((D11+D13)/2)*20,3)</f>
        <v>0</v>
      </c>
      <c r="J12" s="81">
        <f>J10+I12</f>
        <v>-38.079000000000001</v>
      </c>
      <c r="K12" s="70"/>
      <c r="L12" s="65"/>
      <c r="M12" s="65"/>
      <c r="N12" s="65"/>
    </row>
    <row r="13" spans="1:14">
      <c r="A13" s="73">
        <v>5</v>
      </c>
      <c r="B13" s="74">
        <v>0.81199999999999761</v>
      </c>
      <c r="C13" s="74">
        <f>C11+B13</f>
        <v>3.135999999999953</v>
      </c>
      <c r="D13" s="74">
        <v>0</v>
      </c>
      <c r="E13" s="75">
        <f>E11+D13</f>
        <v>-1.904000000000039</v>
      </c>
      <c r="F13" s="76"/>
      <c r="G13" s="76"/>
      <c r="H13" s="74"/>
      <c r="I13" s="76"/>
      <c r="J13" s="81"/>
      <c r="K13" s="70"/>
      <c r="L13" s="65"/>
      <c r="M13" s="65"/>
      <c r="N13" s="65"/>
    </row>
    <row r="14" spans="1:14">
      <c r="A14" s="73"/>
      <c r="B14" s="74"/>
      <c r="C14" s="74"/>
      <c r="D14" s="74"/>
      <c r="E14" s="79"/>
      <c r="F14" s="76">
        <v>10</v>
      </c>
      <c r="G14" s="76">
        <f>TRUNC(((B13+B15)/2)*20,3)</f>
        <v>8.1189999999999998</v>
      </c>
      <c r="H14" s="74">
        <f>H12+G14</f>
        <v>62.716999999999999</v>
      </c>
      <c r="I14" s="76">
        <f>TRUNC(((D13+D15)/2)*20,3)</f>
        <v>-15.398999999999999</v>
      </c>
      <c r="J14" s="81">
        <f>J12+I14</f>
        <v>-53.478000000000002</v>
      </c>
      <c r="K14" s="70"/>
      <c r="L14" s="65"/>
      <c r="M14" s="65"/>
      <c r="N14" s="65"/>
    </row>
    <row r="15" spans="1:14">
      <c r="A15" s="73">
        <v>6</v>
      </c>
      <c r="B15" s="74">
        <v>0</v>
      </c>
      <c r="C15" s="74">
        <f>C13+B15</f>
        <v>3.135999999999953</v>
      </c>
      <c r="D15" s="74">
        <v>-1.539999999999992</v>
      </c>
      <c r="E15" s="75">
        <f>E13+D15</f>
        <v>-3.444000000000031</v>
      </c>
      <c r="F15" s="76"/>
      <c r="G15" s="76"/>
      <c r="H15" s="74"/>
      <c r="I15" s="76"/>
      <c r="J15" s="81"/>
      <c r="K15" s="70"/>
      <c r="L15" s="65"/>
      <c r="M15" s="65"/>
      <c r="N15" s="65"/>
    </row>
    <row r="16" spans="1:14">
      <c r="A16" s="73"/>
      <c r="B16" s="74"/>
      <c r="C16" s="74"/>
      <c r="D16" s="74"/>
      <c r="E16" s="79"/>
      <c r="F16" s="76">
        <v>10</v>
      </c>
      <c r="G16" s="76">
        <f>TRUNC(((B15+B17)/2)*20,3)</f>
        <v>0</v>
      </c>
      <c r="H16" s="74">
        <f>H14+G16</f>
        <v>62.716999999999999</v>
      </c>
      <c r="I16" s="76">
        <f>TRUNC(((D15+D17)/2)*20,3)</f>
        <v>-31.5</v>
      </c>
      <c r="J16" s="81">
        <f>J14+I16</f>
        <v>-84.978000000000009</v>
      </c>
      <c r="K16" s="70"/>
      <c r="L16" s="65"/>
      <c r="M16" s="65"/>
      <c r="N16" s="65"/>
    </row>
    <row r="17" spans="1:14">
      <c r="A17" s="73">
        <v>7</v>
      </c>
      <c r="B17" s="74">
        <v>0</v>
      </c>
      <c r="C17" s="74">
        <f>C15+B17</f>
        <v>3.135999999999953</v>
      </c>
      <c r="D17" s="74">
        <v>-1.6100000000000279</v>
      </c>
      <c r="E17" s="75">
        <f>E15+D17</f>
        <v>-5.0540000000000589</v>
      </c>
      <c r="F17" s="76"/>
      <c r="G17" s="76"/>
      <c r="H17" s="74"/>
      <c r="I17" s="76"/>
      <c r="J17" s="81"/>
      <c r="K17" s="70"/>
      <c r="L17" s="65"/>
      <c r="M17" s="65"/>
      <c r="N17" s="65"/>
    </row>
    <row r="18" spans="1:14">
      <c r="A18" s="73"/>
      <c r="B18" s="74"/>
      <c r="C18" s="74"/>
      <c r="D18" s="74"/>
      <c r="E18" s="79"/>
      <c r="F18" s="76">
        <v>10</v>
      </c>
      <c r="G18" s="76">
        <f>TRUNC(((B17+B19)/2)*20,3)</f>
        <v>0</v>
      </c>
      <c r="H18" s="74">
        <f>H16+G18</f>
        <v>62.716999999999999</v>
      </c>
      <c r="I18" s="76">
        <f>TRUNC(((D17+D19)/2)*20,3)</f>
        <v>-26.95</v>
      </c>
      <c r="J18" s="81">
        <f>J16+I18</f>
        <v>-111.92800000000001</v>
      </c>
      <c r="K18" s="70"/>
      <c r="L18" s="65"/>
      <c r="M18" s="65"/>
      <c r="N18" s="65"/>
    </row>
    <row r="19" spans="1:14">
      <c r="A19" s="73">
        <v>8</v>
      </c>
      <c r="B19" s="74">
        <v>0</v>
      </c>
      <c r="C19" s="74">
        <f>C17+B19</f>
        <v>3.135999999999953</v>
      </c>
      <c r="D19" s="74">
        <v>-1.085000000000008</v>
      </c>
      <c r="E19" s="75">
        <f>E17+D19</f>
        <v>-6.1390000000000668</v>
      </c>
      <c r="F19" s="76"/>
      <c r="G19" s="76"/>
      <c r="H19" s="74"/>
      <c r="I19" s="76"/>
      <c r="J19" s="81"/>
      <c r="K19" s="70"/>
      <c r="L19" s="65"/>
      <c r="M19" s="65"/>
      <c r="N19" s="65"/>
    </row>
    <row r="20" spans="1:14">
      <c r="A20" s="73"/>
      <c r="B20" s="74"/>
      <c r="C20" s="74"/>
      <c r="D20" s="74"/>
      <c r="E20" s="79"/>
      <c r="F20" s="76">
        <v>10</v>
      </c>
      <c r="G20" s="76">
        <f>TRUNC(((B19+B21)/2)*20,3)</f>
        <v>0</v>
      </c>
      <c r="H20" s="74">
        <f>H18+G20</f>
        <v>62.716999999999999</v>
      </c>
      <c r="I20" s="76">
        <f>TRUNC(((D19+D21)/2)*20,3)</f>
        <v>-11.13</v>
      </c>
      <c r="J20" s="81">
        <f>J18+I20</f>
        <v>-123.05800000000001</v>
      </c>
      <c r="K20" s="70"/>
      <c r="L20" s="65"/>
      <c r="M20" s="65"/>
      <c r="N20" s="65"/>
    </row>
    <row r="21" spans="1:14">
      <c r="A21" s="73">
        <v>9</v>
      </c>
      <c r="B21" s="74">
        <v>0</v>
      </c>
      <c r="C21" s="74">
        <f>C19+B21</f>
        <v>3.135999999999953</v>
      </c>
      <c r="D21" s="74">
        <v>-2.800000000003422E-2</v>
      </c>
      <c r="E21" s="75">
        <f>E19+D21</f>
        <v>-6.1670000000001011</v>
      </c>
      <c r="F21" s="76"/>
      <c r="G21" s="76"/>
      <c r="H21" s="74"/>
      <c r="I21" s="76"/>
      <c r="J21" s="81"/>
      <c r="K21" s="70"/>
      <c r="L21" s="65"/>
      <c r="M21" s="65"/>
      <c r="N21" s="65"/>
    </row>
    <row r="22" spans="1:14">
      <c r="A22" s="73"/>
      <c r="B22" s="74"/>
      <c r="C22" s="74"/>
      <c r="D22" s="74"/>
      <c r="E22" s="79"/>
      <c r="F22" s="76">
        <v>10</v>
      </c>
      <c r="G22" s="76">
        <f>TRUNC(((B21+B23)/2)*20,3)</f>
        <v>0</v>
      </c>
      <c r="H22" s="74">
        <f>H20+G22</f>
        <v>62.716999999999999</v>
      </c>
      <c r="I22" s="76">
        <f>TRUNC(((D21+D23)/2)*20,3)</f>
        <v>-9.73</v>
      </c>
      <c r="J22" s="81">
        <f>J20+I22</f>
        <v>-132.78800000000001</v>
      </c>
      <c r="K22" s="70"/>
      <c r="L22" s="65"/>
      <c r="M22" s="65"/>
      <c r="N22" s="65"/>
    </row>
    <row r="23" spans="1:14">
      <c r="A23" s="73">
        <v>10</v>
      </c>
      <c r="B23" s="74">
        <v>0</v>
      </c>
      <c r="C23" s="74">
        <f>C21+B23</f>
        <v>3.135999999999953</v>
      </c>
      <c r="D23" s="74">
        <v>-0.94500000000003581</v>
      </c>
      <c r="E23" s="75">
        <f>E21+D23</f>
        <v>-7.1120000000001369</v>
      </c>
      <c r="F23" s="76"/>
      <c r="G23" s="76"/>
      <c r="H23" s="74"/>
      <c r="I23" s="76"/>
      <c r="J23" s="81"/>
      <c r="K23" s="70"/>
      <c r="L23" s="65"/>
      <c r="M23" s="65"/>
      <c r="N23" s="65"/>
    </row>
    <row r="24" spans="1:14">
      <c r="A24" s="73"/>
      <c r="B24" s="74"/>
      <c r="C24" s="74"/>
      <c r="D24" s="74"/>
      <c r="E24" s="79"/>
      <c r="F24" s="76">
        <v>10</v>
      </c>
      <c r="G24" s="76">
        <f>TRUNC(((B23+B25)/2)*20,3)</f>
        <v>0</v>
      </c>
      <c r="H24" s="74">
        <f>H22+G24</f>
        <v>62.716999999999999</v>
      </c>
      <c r="I24" s="76">
        <f>TRUNC(((D23+D25)/2)*20,3)</f>
        <v>-9.66</v>
      </c>
      <c r="J24" s="81">
        <f>J22+I24</f>
        <v>-142.44800000000001</v>
      </c>
      <c r="K24" s="70"/>
      <c r="L24" s="65"/>
      <c r="M24" s="65"/>
      <c r="N24" s="65"/>
    </row>
    <row r="25" spans="1:14">
      <c r="A25" s="73">
        <v>11</v>
      </c>
      <c r="B25" s="74">
        <v>0</v>
      </c>
      <c r="C25" s="74">
        <f>C23+B25</f>
        <v>3.135999999999953</v>
      </c>
      <c r="D25" s="74">
        <v>-2.1000000000000796E-2</v>
      </c>
      <c r="E25" s="75">
        <f>E23+D25</f>
        <v>-7.1330000000001377</v>
      </c>
      <c r="F25" s="76"/>
      <c r="G25" s="76"/>
      <c r="H25" s="74"/>
      <c r="I25" s="76"/>
      <c r="J25" s="81"/>
      <c r="K25" s="70"/>
      <c r="L25" s="65"/>
      <c r="M25" s="65"/>
      <c r="N25" s="65"/>
    </row>
    <row r="26" spans="1:14">
      <c r="A26" s="73"/>
      <c r="B26" s="74"/>
      <c r="C26" s="74"/>
      <c r="D26" s="74"/>
      <c r="E26" s="79"/>
      <c r="F26" s="76">
        <v>10</v>
      </c>
      <c r="G26" s="76">
        <f>TRUNC(((B25+B27)/2)*20,3)</f>
        <v>0</v>
      </c>
      <c r="H26" s="74">
        <f>H24+G26</f>
        <v>62.716999999999999</v>
      </c>
      <c r="I26" s="76">
        <f>TRUNC(((D25+D27)/2)*20,3)</f>
        <v>-4.97</v>
      </c>
      <c r="J26" s="81">
        <f>J24+I26</f>
        <v>-147.41800000000001</v>
      </c>
      <c r="K26" s="70"/>
      <c r="L26" s="65"/>
      <c r="M26" s="65"/>
      <c r="N26" s="65"/>
    </row>
    <row r="27" spans="1:14">
      <c r="A27" s="73">
        <v>12</v>
      </c>
      <c r="B27" s="74">
        <v>0</v>
      </c>
      <c r="C27" s="74">
        <f>C25+B27</f>
        <v>3.135999999999953</v>
      </c>
      <c r="D27" s="74">
        <v>-0.47600000000008436</v>
      </c>
      <c r="E27" s="75">
        <f>E25+D27</f>
        <v>-7.609000000000222</v>
      </c>
      <c r="F27" s="76"/>
      <c r="G27" s="76"/>
      <c r="H27" s="74"/>
      <c r="I27" s="76"/>
      <c r="J27" s="81"/>
      <c r="K27" s="70"/>
      <c r="L27" s="65"/>
      <c r="M27" s="65"/>
      <c r="N27" s="65"/>
    </row>
    <row r="28" spans="1:14">
      <c r="A28" s="73"/>
      <c r="B28" s="74"/>
      <c r="C28" s="74"/>
      <c r="D28" s="74"/>
      <c r="E28" s="79"/>
      <c r="F28" s="76">
        <v>10</v>
      </c>
      <c r="G28" s="76">
        <f>TRUNC(((B27+B29)/2)*20,3)</f>
        <v>3.2890000000000001</v>
      </c>
      <c r="H28" s="74">
        <f>H26+G28</f>
        <v>66.006</v>
      </c>
      <c r="I28" s="76">
        <f>TRUNC(((D27+D29)/2)*20,3)</f>
        <v>-4.76</v>
      </c>
      <c r="J28" s="81">
        <f>J26+I28</f>
        <v>-152.178</v>
      </c>
      <c r="K28" s="70"/>
      <c r="L28" s="65"/>
      <c r="M28" s="65"/>
      <c r="N28" s="65"/>
    </row>
    <row r="29" spans="1:14">
      <c r="A29" s="73">
        <v>13</v>
      </c>
      <c r="B29" s="74">
        <v>0.32899999999997931</v>
      </c>
      <c r="C29" s="74">
        <f>C27+B29</f>
        <v>3.4649999999999324</v>
      </c>
      <c r="D29" s="74">
        <v>0</v>
      </c>
      <c r="E29" s="75">
        <f>E27+D29</f>
        <v>-7.609000000000222</v>
      </c>
      <c r="F29" s="76"/>
      <c r="G29" s="76"/>
      <c r="H29" s="74"/>
      <c r="I29" s="76"/>
      <c r="J29" s="81"/>
      <c r="K29" s="70"/>
      <c r="L29" s="65"/>
      <c r="M29" s="65"/>
      <c r="N29" s="65"/>
    </row>
    <row r="30" spans="1:14">
      <c r="A30" s="73"/>
      <c r="B30" s="74"/>
      <c r="C30" s="74"/>
      <c r="D30" s="74"/>
      <c r="E30" s="79"/>
      <c r="F30" s="76">
        <v>10</v>
      </c>
      <c r="G30" s="76">
        <f>TRUNC(((B29+B31)/2)*20,3)</f>
        <v>3.2890000000000001</v>
      </c>
      <c r="H30" s="74">
        <f>H28+G30</f>
        <v>69.295000000000002</v>
      </c>
      <c r="I30" s="76">
        <f>TRUNC(((D29+D31)/2)*20,3)</f>
        <v>-13.72</v>
      </c>
      <c r="J30" s="81">
        <f>J28+I30</f>
        <v>-165.898</v>
      </c>
      <c r="K30" s="70"/>
      <c r="L30" s="65"/>
      <c r="M30" s="65"/>
      <c r="N30" s="65"/>
    </row>
    <row r="31" spans="1:14">
      <c r="A31" s="73">
        <v>14</v>
      </c>
      <c r="B31" s="74">
        <v>0</v>
      </c>
      <c r="C31" s="74">
        <f>C29+B31</f>
        <v>3.4649999999999324</v>
      </c>
      <c r="D31" s="74">
        <v>-1.3720000000000852</v>
      </c>
      <c r="E31" s="75">
        <f>E29+D31</f>
        <v>-8.9810000000003072</v>
      </c>
      <c r="F31" s="76"/>
      <c r="G31" s="76"/>
      <c r="H31" s="74"/>
      <c r="I31" s="76"/>
      <c r="J31" s="81"/>
      <c r="K31" s="70"/>
      <c r="L31" s="65"/>
      <c r="M31" s="65"/>
      <c r="N31" s="65"/>
    </row>
    <row r="32" spans="1:14">
      <c r="A32" s="73"/>
      <c r="B32" s="74"/>
      <c r="C32" s="74"/>
      <c r="D32" s="74"/>
      <c r="E32" s="79"/>
      <c r="F32" s="76">
        <v>10</v>
      </c>
      <c r="G32" s="76">
        <f>TRUNC(((B31+B33)/2)*20,3)</f>
        <v>0</v>
      </c>
      <c r="H32" s="74">
        <f>H30+G32</f>
        <v>69.295000000000002</v>
      </c>
      <c r="I32" s="76">
        <f>TRUNC(((D31+D33)/2)*20,3)</f>
        <v>-16.38</v>
      </c>
      <c r="J32" s="81">
        <f>J30+I32</f>
        <v>-182.27799999999999</v>
      </c>
      <c r="K32" s="70"/>
      <c r="L32" s="65"/>
      <c r="M32" s="65"/>
      <c r="N32" s="65"/>
    </row>
    <row r="33" spans="1:14">
      <c r="A33" s="73">
        <v>15</v>
      </c>
      <c r="B33" s="74">
        <v>0</v>
      </c>
      <c r="C33" s="74">
        <f>C31+B33</f>
        <v>3.4649999999999324</v>
      </c>
      <c r="D33" s="74">
        <v>-0.26599999999997692</v>
      </c>
      <c r="E33" s="75">
        <f>E31+D33</f>
        <v>-9.2470000000002841</v>
      </c>
      <c r="F33" s="76"/>
      <c r="G33" s="76"/>
      <c r="H33" s="74"/>
      <c r="I33" s="76"/>
      <c r="J33" s="81"/>
      <c r="K33" s="70"/>
      <c r="L33" s="65"/>
      <c r="M33" s="65"/>
      <c r="N33" s="65"/>
    </row>
    <row r="34" spans="1:14">
      <c r="A34" s="73"/>
      <c r="B34" s="74"/>
      <c r="C34" s="74"/>
      <c r="D34" s="74"/>
      <c r="E34" s="79"/>
      <c r="F34" s="76">
        <v>10</v>
      </c>
      <c r="G34" s="76">
        <f>TRUNC(((B33+B35)/2)*20,3)</f>
        <v>0</v>
      </c>
      <c r="H34" s="74">
        <f>H32+G34</f>
        <v>69.295000000000002</v>
      </c>
      <c r="I34" s="76">
        <f>TRUNC(((D33+D35)/2)*20,3)</f>
        <v>-17.359000000000002</v>
      </c>
      <c r="J34" s="81">
        <f>J32+I34</f>
        <v>-199.637</v>
      </c>
      <c r="K34" s="70"/>
      <c r="L34" s="65"/>
      <c r="M34" s="65"/>
      <c r="N34" s="65"/>
    </row>
    <row r="35" spans="1:14">
      <c r="A35" s="73">
        <v>16</v>
      </c>
      <c r="B35" s="74">
        <v>0</v>
      </c>
      <c r="C35" s="74">
        <f>C33+B35</f>
        <v>3.4649999999999324</v>
      </c>
      <c r="D35" s="74">
        <v>-1.4699999999999562</v>
      </c>
      <c r="E35" s="75">
        <f>E33+D35</f>
        <v>-10.71700000000024</v>
      </c>
      <c r="F35" s="76"/>
      <c r="G35" s="76"/>
      <c r="H35" s="74"/>
      <c r="I35" s="76"/>
      <c r="J35" s="81"/>
      <c r="K35" s="70"/>
      <c r="L35" s="65"/>
      <c r="M35" s="65"/>
      <c r="N35" s="65"/>
    </row>
    <row r="36" spans="1:14">
      <c r="A36" s="73"/>
      <c r="B36" s="74"/>
      <c r="C36" s="74"/>
      <c r="D36" s="74"/>
      <c r="E36" s="79"/>
      <c r="F36" s="76">
        <v>10</v>
      </c>
      <c r="G36" s="76">
        <f>TRUNC(((B35+B37)/2)*20,3)</f>
        <v>0</v>
      </c>
      <c r="H36" s="74">
        <f>H34+G36</f>
        <v>69.295000000000002</v>
      </c>
      <c r="I36" s="76">
        <f>TRUNC(((D35+D37)/2)*20,3)</f>
        <v>-18.899000000000001</v>
      </c>
      <c r="J36" s="81">
        <f>J34+I36</f>
        <v>-218.536</v>
      </c>
      <c r="K36" s="70"/>
      <c r="L36" s="65"/>
      <c r="M36" s="65"/>
      <c r="N36" s="65"/>
    </row>
    <row r="37" spans="1:14">
      <c r="A37" s="73">
        <v>17</v>
      </c>
      <c r="B37" s="74">
        <v>0</v>
      </c>
      <c r="C37" s="74">
        <f>C35+B37</f>
        <v>3.4649999999999324</v>
      </c>
      <c r="D37" s="74">
        <v>-0.42000000000001592</v>
      </c>
      <c r="E37" s="75">
        <f>E35+D37</f>
        <v>-11.137000000000256</v>
      </c>
      <c r="F37" s="76"/>
      <c r="G37" s="76"/>
      <c r="H37" s="74"/>
      <c r="I37" s="76"/>
      <c r="J37" s="81"/>
      <c r="K37" s="70"/>
      <c r="L37" s="65"/>
      <c r="M37" s="65"/>
      <c r="N37" s="65"/>
    </row>
    <row r="38" spans="1:14">
      <c r="A38" s="73"/>
      <c r="B38" s="74"/>
      <c r="C38" s="74"/>
      <c r="D38" s="74"/>
      <c r="E38" s="79"/>
      <c r="F38" s="76">
        <v>10</v>
      </c>
      <c r="G38" s="76">
        <f>TRUNC(((B37+B39)/2)*20,3)</f>
        <v>0</v>
      </c>
      <c r="H38" s="74">
        <f>H36+G38</f>
        <v>69.295000000000002</v>
      </c>
      <c r="I38" s="76">
        <f>TRUNC(((D37+D39)/2)*20,3)</f>
        <v>-8.61</v>
      </c>
      <c r="J38" s="81">
        <f>J36+I38</f>
        <v>-227.14600000000002</v>
      </c>
      <c r="K38" s="70"/>
      <c r="L38" s="65"/>
      <c r="M38" s="65"/>
      <c r="N38" s="65"/>
    </row>
    <row r="39" spans="1:14">
      <c r="A39" s="73">
        <v>18</v>
      </c>
      <c r="B39" s="74">
        <v>0</v>
      </c>
      <c r="C39" s="74">
        <f>C37+B39</f>
        <v>3.4649999999999324</v>
      </c>
      <c r="D39" s="74">
        <v>-0.44100000000001671</v>
      </c>
      <c r="E39" s="75">
        <f>E37+D39</f>
        <v>-11.578000000000273</v>
      </c>
      <c r="F39" s="76"/>
      <c r="G39" s="76"/>
      <c r="H39" s="74"/>
      <c r="I39" s="76"/>
      <c r="J39" s="81"/>
      <c r="K39" s="70"/>
      <c r="L39" s="65"/>
      <c r="M39" s="65"/>
      <c r="N39" s="65"/>
    </row>
    <row r="40" spans="1:14">
      <c r="A40" s="73"/>
      <c r="B40" s="74"/>
      <c r="C40" s="74"/>
      <c r="D40" s="74"/>
      <c r="E40" s="79"/>
      <c r="F40" s="76">
        <v>10</v>
      </c>
      <c r="G40" s="76">
        <f>TRUNC(((B39+B41)/2)*20,3)</f>
        <v>0</v>
      </c>
      <c r="H40" s="74">
        <f>H38+G40</f>
        <v>69.295000000000002</v>
      </c>
      <c r="I40" s="76">
        <f>TRUNC(((D39+D41)/2)*20,3)</f>
        <v>-6.51</v>
      </c>
      <c r="J40" s="81">
        <f>J38+I40</f>
        <v>-233.65600000000001</v>
      </c>
      <c r="K40" s="70"/>
      <c r="L40" s="65"/>
      <c r="M40" s="65"/>
      <c r="N40" s="65"/>
    </row>
    <row r="41" spans="1:14">
      <c r="A41" s="73">
        <v>19</v>
      </c>
      <c r="B41" s="74">
        <v>0</v>
      </c>
      <c r="C41" s="74">
        <f>C39+B41</f>
        <v>3.4649999999999324</v>
      </c>
      <c r="D41" s="74">
        <v>-0.21000000000000796</v>
      </c>
      <c r="E41" s="75">
        <f>E39+D41</f>
        <v>-11.788000000000281</v>
      </c>
      <c r="F41" s="76"/>
      <c r="G41" s="76"/>
      <c r="H41" s="74"/>
      <c r="I41" s="76"/>
      <c r="J41" s="81"/>
      <c r="K41" s="70"/>
      <c r="L41" s="65"/>
      <c r="M41" s="65"/>
      <c r="N41" s="65"/>
    </row>
    <row r="42" spans="1:14">
      <c r="A42" s="73"/>
      <c r="B42" s="74"/>
      <c r="C42" s="74"/>
      <c r="D42" s="74"/>
      <c r="E42" s="79"/>
      <c r="F42" s="76">
        <v>10</v>
      </c>
      <c r="G42" s="76">
        <f>TRUNC(((B41+B43)/2)*20,3)</f>
        <v>0</v>
      </c>
      <c r="H42" s="74">
        <f>H40+G42</f>
        <v>69.295000000000002</v>
      </c>
      <c r="I42" s="76">
        <f>TRUNC(((D41+D43)/2)*20,3)</f>
        <v>-6.649</v>
      </c>
      <c r="J42" s="81">
        <f>J40+I42</f>
        <v>-240.30500000000001</v>
      </c>
      <c r="K42" s="70"/>
      <c r="L42" s="65"/>
      <c r="M42" s="65"/>
      <c r="N42" s="65"/>
    </row>
    <row r="43" spans="1:14">
      <c r="A43" s="73">
        <v>20</v>
      </c>
      <c r="B43" s="74">
        <v>0</v>
      </c>
      <c r="C43" s="74">
        <f>C41+B43</f>
        <v>3.4649999999999324</v>
      </c>
      <c r="D43" s="74">
        <v>-0.45499999999998408</v>
      </c>
      <c r="E43" s="75">
        <f>E41+D43</f>
        <v>-12.243000000000265</v>
      </c>
      <c r="F43" s="76"/>
      <c r="G43" s="76"/>
      <c r="H43" s="74"/>
      <c r="I43" s="76"/>
      <c r="J43" s="81"/>
      <c r="K43" s="70"/>
      <c r="L43" s="65"/>
      <c r="M43" s="65"/>
      <c r="N43" s="65"/>
    </row>
    <row r="44" spans="1:14">
      <c r="A44" s="73"/>
      <c r="B44" s="74"/>
      <c r="C44" s="74"/>
      <c r="D44" s="74"/>
      <c r="E44" s="79"/>
      <c r="F44" s="76">
        <v>10</v>
      </c>
      <c r="G44" s="76">
        <f>TRUNC(((B43+B45)/2)*20,3)</f>
        <v>0</v>
      </c>
      <c r="H44" s="74">
        <f>H42+G44</f>
        <v>69.295000000000002</v>
      </c>
      <c r="I44" s="76">
        <f>TRUNC(((D43+D45)/2)*20,3)</f>
        <v>-8.4</v>
      </c>
      <c r="J44" s="81">
        <f>J42+I44</f>
        <v>-248.70500000000001</v>
      </c>
      <c r="K44" s="70"/>
      <c r="L44" s="65"/>
      <c r="M44" s="65"/>
      <c r="N44" s="65"/>
    </row>
    <row r="45" spans="1:14">
      <c r="A45" s="73">
        <v>21</v>
      </c>
      <c r="B45" s="74">
        <v>0</v>
      </c>
      <c r="C45" s="74">
        <f>C43+B45</f>
        <v>3.4649999999999324</v>
      </c>
      <c r="D45" s="74">
        <v>-0.38500000000004775</v>
      </c>
      <c r="E45" s="75">
        <f>E43+D45</f>
        <v>-12.628000000000313</v>
      </c>
      <c r="F45" s="76"/>
      <c r="G45" s="76"/>
      <c r="H45" s="74"/>
      <c r="I45" s="76"/>
      <c r="J45" s="81"/>
      <c r="K45" s="70"/>
      <c r="L45" s="65"/>
      <c r="M45" s="65"/>
      <c r="N45" s="65"/>
    </row>
    <row r="46" spans="1:14">
      <c r="A46" s="73"/>
      <c r="B46" s="74"/>
      <c r="C46" s="74"/>
      <c r="D46" s="74"/>
      <c r="E46" s="79"/>
      <c r="F46" s="76">
        <v>10</v>
      </c>
      <c r="G46" s="76">
        <f>TRUNC(((B45+B47)/2)*20,3)</f>
        <v>0</v>
      </c>
      <c r="H46" s="74">
        <f>H44+G46</f>
        <v>69.295000000000002</v>
      </c>
      <c r="I46" s="76">
        <f>TRUNC(((D45+D47)/2)*20,3)</f>
        <v>-9.3089999999999993</v>
      </c>
      <c r="J46" s="81">
        <f>J44+I46</f>
        <v>-258.01400000000001</v>
      </c>
      <c r="K46" s="70"/>
      <c r="L46" s="65"/>
      <c r="M46" s="65"/>
      <c r="N46" s="65"/>
    </row>
    <row r="47" spans="1:14">
      <c r="A47" s="73">
        <v>22</v>
      </c>
      <c r="B47" s="74">
        <v>0</v>
      </c>
      <c r="C47" s="74">
        <f>C45+B47</f>
        <v>3.4649999999999324</v>
      </c>
      <c r="D47" s="74">
        <v>-0.54599999999992122</v>
      </c>
      <c r="E47" s="75">
        <f>E45+D47</f>
        <v>-13.174000000000234</v>
      </c>
      <c r="F47" s="76"/>
      <c r="G47" s="76"/>
      <c r="H47" s="74"/>
      <c r="I47" s="76"/>
      <c r="J47" s="81"/>
      <c r="K47" s="70"/>
      <c r="L47" s="65"/>
      <c r="M47" s="65"/>
      <c r="N47" s="65"/>
    </row>
    <row r="48" spans="1:14">
      <c r="A48" s="73"/>
      <c r="B48" s="74"/>
      <c r="C48" s="74"/>
      <c r="D48" s="74"/>
      <c r="E48" s="79"/>
      <c r="F48" s="76">
        <v>10</v>
      </c>
      <c r="G48" s="76">
        <f>TRUNC(((B47+B49)/2)*20,3)</f>
        <v>0.7</v>
      </c>
      <c r="H48" s="74">
        <f>H46+G48</f>
        <v>69.995000000000005</v>
      </c>
      <c r="I48" s="76">
        <f>TRUNC(((D47+D49)/2)*20,3)</f>
        <v>-5.4589999999999996</v>
      </c>
      <c r="J48" s="81">
        <f>J46+I48</f>
        <v>-263.47300000000001</v>
      </c>
      <c r="K48" s="70"/>
      <c r="L48" s="65"/>
      <c r="M48" s="65"/>
      <c r="N48" s="65"/>
    </row>
    <row r="49" spans="1:14">
      <c r="A49" s="73">
        <v>23</v>
      </c>
      <c r="B49" s="74">
        <v>7.0000000000035811E-2</v>
      </c>
      <c r="C49" s="74">
        <f>C47+B49</f>
        <v>3.5349999999999682</v>
      </c>
      <c r="D49" s="74">
        <v>0</v>
      </c>
      <c r="E49" s="75">
        <f>E47+D49</f>
        <v>-13.174000000000234</v>
      </c>
      <c r="F49" s="76"/>
      <c r="G49" s="76"/>
      <c r="H49" s="74"/>
      <c r="I49" s="76"/>
      <c r="J49" s="81"/>
      <c r="K49" s="70"/>
      <c r="L49" s="65"/>
      <c r="M49" s="65"/>
      <c r="N49" s="65"/>
    </row>
    <row r="50" spans="1:14">
      <c r="A50" s="73"/>
      <c r="B50" s="74"/>
      <c r="C50" s="74"/>
      <c r="D50" s="74"/>
      <c r="E50" s="79"/>
      <c r="F50" s="76">
        <v>10</v>
      </c>
      <c r="G50" s="76">
        <f>TRUNC(((B49+B51)/2)*20,3)</f>
        <v>1.05</v>
      </c>
      <c r="H50" s="74">
        <f>H48+G50</f>
        <v>71.045000000000002</v>
      </c>
      <c r="I50" s="76">
        <f>TRUNC(((D49+D51)/2)*20,3)</f>
        <v>0</v>
      </c>
      <c r="J50" s="81">
        <f>J48+I50</f>
        <v>-263.47300000000001</v>
      </c>
      <c r="K50" s="70"/>
      <c r="L50" s="65"/>
      <c r="M50" s="65"/>
      <c r="N50" s="65"/>
    </row>
    <row r="51" spans="1:14">
      <c r="A51" s="73">
        <v>24</v>
      </c>
      <c r="B51" s="74">
        <v>3.4999999999968168E-2</v>
      </c>
      <c r="C51" s="74">
        <f>C49+B51</f>
        <v>3.5699999999999363</v>
      </c>
      <c r="D51" s="74">
        <v>0</v>
      </c>
      <c r="E51" s="75">
        <f>E49+D51</f>
        <v>-13.174000000000234</v>
      </c>
      <c r="F51" s="76"/>
      <c r="G51" s="76"/>
      <c r="H51" s="74"/>
      <c r="I51" s="76"/>
      <c r="J51" s="81"/>
      <c r="K51" s="70"/>
      <c r="L51" s="65"/>
      <c r="M51" s="65"/>
      <c r="N51" s="65"/>
    </row>
    <row r="52" spans="1:14">
      <c r="A52" s="73"/>
      <c r="B52" s="74"/>
      <c r="C52" s="74"/>
      <c r="D52" s="74"/>
      <c r="E52" s="79"/>
      <c r="F52" s="76">
        <v>10</v>
      </c>
      <c r="G52" s="76">
        <f>TRUNC(((B51+B53)/2)*20,3)</f>
        <v>0.34899999999999998</v>
      </c>
      <c r="H52" s="74">
        <f>H50+G52</f>
        <v>71.394000000000005</v>
      </c>
      <c r="I52" s="76">
        <f>TRUNC(((D51+D53)/2)*20,3)</f>
        <v>-0.49</v>
      </c>
      <c r="J52" s="81">
        <f>J50+I52</f>
        <v>-263.96300000000002</v>
      </c>
      <c r="K52" s="70"/>
      <c r="L52" s="65"/>
      <c r="M52" s="65"/>
      <c r="N52" s="65"/>
    </row>
    <row r="53" spans="1:14">
      <c r="A53" s="73">
        <v>25</v>
      </c>
      <c r="B53" s="74">
        <v>0</v>
      </c>
      <c r="C53" s="74">
        <f>C51+B53</f>
        <v>3.5699999999999363</v>
      </c>
      <c r="D53" s="74">
        <v>-4.9000000000035016E-2</v>
      </c>
      <c r="E53" s="75">
        <f>E51+D53</f>
        <v>-13.223000000000269</v>
      </c>
      <c r="F53" s="76"/>
      <c r="G53" s="76"/>
      <c r="H53" s="74"/>
      <c r="I53" s="76"/>
      <c r="J53" s="81"/>
      <c r="K53" s="70"/>
      <c r="L53" s="65"/>
      <c r="M53" s="65"/>
      <c r="N53" s="65"/>
    </row>
    <row r="54" spans="1:14">
      <c r="A54" s="73"/>
      <c r="B54" s="74"/>
      <c r="C54" s="74"/>
      <c r="D54" s="74"/>
      <c r="E54" s="79"/>
      <c r="F54" s="76">
        <v>10</v>
      </c>
      <c r="G54" s="76">
        <f>TRUNC(((B53+B55)/2)*20,3)</f>
        <v>0</v>
      </c>
      <c r="H54" s="74">
        <f>H52+G54</f>
        <v>71.394000000000005</v>
      </c>
      <c r="I54" s="76">
        <f>TRUNC(((D53+D55)/2)*20,3)</f>
        <v>-4.1289999999999996</v>
      </c>
      <c r="J54" s="81">
        <f>J52+I54</f>
        <v>-268.09200000000004</v>
      </c>
      <c r="K54" s="70"/>
      <c r="L54" s="65"/>
      <c r="M54" s="65"/>
      <c r="N54" s="65"/>
    </row>
    <row r="55" spans="1:14">
      <c r="A55" s="73">
        <v>26</v>
      </c>
      <c r="B55" s="74">
        <v>0</v>
      </c>
      <c r="C55" s="74">
        <f>C53+B55</f>
        <v>3.5699999999999363</v>
      </c>
      <c r="D55" s="74">
        <v>-0.36399999999994748</v>
      </c>
      <c r="E55" s="75">
        <f>E53+D55</f>
        <v>-13.587000000000216</v>
      </c>
      <c r="F55" s="76"/>
      <c r="G55" s="76"/>
      <c r="H55" s="74"/>
      <c r="I55" s="76"/>
      <c r="J55" s="81"/>
      <c r="K55" s="70"/>
      <c r="L55" s="65"/>
      <c r="M55" s="65"/>
      <c r="N55" s="65"/>
    </row>
    <row r="56" spans="1:14">
      <c r="A56" s="73"/>
      <c r="B56" s="74"/>
      <c r="C56" s="74"/>
      <c r="D56" s="74"/>
      <c r="E56" s="79"/>
      <c r="F56" s="76">
        <v>10</v>
      </c>
      <c r="G56" s="76">
        <f>TRUNC(((B55+B57)/2)*20,3)</f>
        <v>0</v>
      </c>
      <c r="H56" s="74">
        <f>H54+G56</f>
        <v>71.394000000000005</v>
      </c>
      <c r="I56" s="76">
        <f>TRUNC(((D55+D57)/2)*20,3)</f>
        <v>-9.0990000000000002</v>
      </c>
      <c r="J56" s="81">
        <f>J54+I56</f>
        <v>-277.19100000000003</v>
      </c>
      <c r="K56" s="70"/>
      <c r="L56" s="65"/>
      <c r="M56" s="65"/>
      <c r="N56" s="65"/>
    </row>
    <row r="57" spans="1:14">
      <c r="A57" s="73">
        <v>27</v>
      </c>
      <c r="B57" s="74">
        <v>0</v>
      </c>
      <c r="C57" s="74">
        <f>C55+B57</f>
        <v>3.5699999999999363</v>
      </c>
      <c r="D57" s="74">
        <v>-0.54600000000002069</v>
      </c>
      <c r="E57" s="75">
        <f>E55+D57</f>
        <v>-14.133000000000237</v>
      </c>
      <c r="F57" s="76"/>
      <c r="G57" s="76"/>
      <c r="H57" s="74"/>
      <c r="I57" s="76"/>
      <c r="J57" s="81"/>
      <c r="K57" s="70"/>
      <c r="L57" s="65"/>
      <c r="M57" s="65"/>
      <c r="N57" s="65"/>
    </row>
    <row r="58" spans="1:14">
      <c r="A58" s="73"/>
      <c r="B58" s="74"/>
      <c r="C58" s="74"/>
      <c r="D58" s="74"/>
      <c r="E58" s="79"/>
      <c r="F58" s="76">
        <v>10</v>
      </c>
      <c r="G58" s="76">
        <f>TRUNC(((B57+B59)/2)*20,3)</f>
        <v>1.05</v>
      </c>
      <c r="H58" s="74">
        <f>H56+G58</f>
        <v>72.444000000000003</v>
      </c>
      <c r="I58" s="76">
        <f>TRUNC(((D57+D59)/2)*20,3)</f>
        <v>-5.46</v>
      </c>
      <c r="J58" s="81">
        <f>J56+I58</f>
        <v>-282.65100000000001</v>
      </c>
      <c r="K58" s="70"/>
      <c r="L58" s="65"/>
      <c r="M58" s="65"/>
      <c r="N58" s="65"/>
    </row>
    <row r="59" spans="1:14">
      <c r="A59" s="73">
        <v>28</v>
      </c>
      <c r="B59" s="74">
        <v>0.10500000000000398</v>
      </c>
      <c r="C59" s="74">
        <f>C57+B59</f>
        <v>3.6749999999999403</v>
      </c>
      <c r="D59" s="74">
        <v>0</v>
      </c>
      <c r="E59" s="75">
        <f>E57+D59</f>
        <v>-14.133000000000237</v>
      </c>
      <c r="F59" s="76"/>
      <c r="G59" s="76"/>
      <c r="H59" s="74"/>
      <c r="I59" s="76"/>
      <c r="J59" s="81"/>
      <c r="K59" s="70"/>
      <c r="L59" s="65"/>
      <c r="M59" s="65"/>
      <c r="N59" s="65"/>
    </row>
    <row r="60" spans="1:14">
      <c r="A60" s="73"/>
      <c r="B60" s="74"/>
      <c r="C60" s="74"/>
      <c r="D60" s="74"/>
      <c r="E60" s="79"/>
      <c r="F60" s="76">
        <v>10</v>
      </c>
      <c r="G60" s="76">
        <f>TRUNC(((B59+B61)/2)*20,3)</f>
        <v>1.05</v>
      </c>
      <c r="H60" s="74">
        <f>H58+G60</f>
        <v>73.494</v>
      </c>
      <c r="I60" s="76">
        <f>TRUNC(((D59+D61)/2)*20,3)</f>
        <v>-4.0590000000000002</v>
      </c>
      <c r="J60" s="81">
        <f>J58+I60</f>
        <v>-286.71000000000004</v>
      </c>
      <c r="K60" s="70"/>
      <c r="L60" s="65"/>
      <c r="M60" s="65"/>
      <c r="N60" s="65"/>
    </row>
    <row r="61" spans="1:14">
      <c r="A61" s="73">
        <v>29</v>
      </c>
      <c r="B61" s="74">
        <v>0</v>
      </c>
      <c r="C61" s="74">
        <f>C59+B61</f>
        <v>3.6749999999999403</v>
      </c>
      <c r="D61" s="74">
        <v>-0.40599999999994907</v>
      </c>
      <c r="E61" s="75">
        <f>E59+D61</f>
        <v>-14.539000000000186</v>
      </c>
      <c r="F61" s="76"/>
      <c r="G61" s="76"/>
      <c r="H61" s="74"/>
      <c r="I61" s="76"/>
      <c r="J61" s="81"/>
      <c r="K61" s="70"/>
      <c r="L61" s="65"/>
      <c r="M61" s="65"/>
      <c r="N61" s="65"/>
    </row>
    <row r="62" spans="1:14">
      <c r="A62" s="73"/>
      <c r="B62" s="74"/>
      <c r="C62" s="74"/>
      <c r="D62" s="74"/>
      <c r="E62" s="79"/>
      <c r="F62" s="76">
        <v>10</v>
      </c>
      <c r="G62" s="76">
        <f>TRUNC(((B61+B63)/2)*20,3)</f>
        <v>0</v>
      </c>
      <c r="H62" s="74">
        <f>H60+G62</f>
        <v>73.494</v>
      </c>
      <c r="I62" s="76">
        <f>TRUNC(((D61+D63)/2)*20,3)</f>
        <v>-10.779</v>
      </c>
      <c r="J62" s="81">
        <f>J60+I62</f>
        <v>-297.48900000000003</v>
      </c>
      <c r="K62" s="70"/>
      <c r="L62" s="65"/>
      <c r="M62" s="65"/>
      <c r="N62" s="65"/>
    </row>
    <row r="63" spans="1:14">
      <c r="A63" s="73">
        <v>30</v>
      </c>
      <c r="B63" s="74">
        <v>0</v>
      </c>
      <c r="C63" s="74">
        <f>C61+B63</f>
        <v>3.6749999999999403</v>
      </c>
      <c r="D63" s="74">
        <v>-0.67199999999992599</v>
      </c>
      <c r="E63" s="75">
        <f>E61+D63</f>
        <v>-15.211000000000112</v>
      </c>
      <c r="F63" s="76"/>
      <c r="G63" s="76"/>
      <c r="H63" s="74"/>
      <c r="I63" s="76"/>
      <c r="J63" s="81"/>
      <c r="K63" s="70"/>
      <c r="L63" s="65"/>
      <c r="M63" s="65"/>
      <c r="N63" s="65"/>
    </row>
    <row r="64" spans="1:14">
      <c r="A64" s="73"/>
      <c r="B64" s="74"/>
      <c r="C64" s="74"/>
      <c r="D64" s="74"/>
      <c r="E64" s="79"/>
      <c r="F64" s="76">
        <v>10</v>
      </c>
      <c r="G64" s="76">
        <f>TRUNC(((B63+B65)/2)*20,3)</f>
        <v>0</v>
      </c>
      <c r="H64" s="74">
        <f>H62+G64</f>
        <v>73.494</v>
      </c>
      <c r="I64" s="76">
        <f>TRUNC(((D63+D65)/2)*20,3)</f>
        <v>-13.579000000000001</v>
      </c>
      <c r="J64" s="81">
        <f>J62+I64</f>
        <v>-311.06800000000004</v>
      </c>
      <c r="K64" s="70"/>
      <c r="L64" s="65"/>
      <c r="M64" s="65"/>
      <c r="N64" s="65"/>
    </row>
    <row r="65" spans="1:14">
      <c r="A65" s="73">
        <v>31</v>
      </c>
      <c r="B65" s="74">
        <v>0</v>
      </c>
      <c r="C65" s="74">
        <f>C63+B65</f>
        <v>3.6749999999999403</v>
      </c>
      <c r="D65" s="74">
        <v>-0.68599999999999284</v>
      </c>
      <c r="E65" s="75">
        <f>E63+D65</f>
        <v>-15.897000000000105</v>
      </c>
      <c r="F65" s="76"/>
      <c r="G65" s="76"/>
      <c r="H65" s="74"/>
      <c r="I65" s="76"/>
      <c r="J65" s="81"/>
      <c r="K65" s="70"/>
      <c r="L65" s="65"/>
      <c r="M65" s="65"/>
      <c r="N65" s="65"/>
    </row>
    <row r="66" spans="1:14">
      <c r="A66" s="73"/>
      <c r="B66" s="74"/>
      <c r="C66" s="74"/>
      <c r="D66" s="74"/>
      <c r="E66" s="79"/>
      <c r="F66" s="76">
        <v>10</v>
      </c>
      <c r="G66" s="76">
        <f>TRUNC(((B65+B67)/2)*20,3)</f>
        <v>0</v>
      </c>
      <c r="H66" s="74">
        <f>H64+G66</f>
        <v>73.494</v>
      </c>
      <c r="I66" s="76">
        <f>TRUNC(((D65+D67)/2)*20,3)</f>
        <v>-10.709</v>
      </c>
      <c r="J66" s="81">
        <f>J64+I66</f>
        <v>-321.77700000000004</v>
      </c>
      <c r="K66" s="70"/>
      <c r="L66" s="65"/>
      <c r="M66" s="65"/>
      <c r="N66" s="65"/>
    </row>
    <row r="67" spans="1:14">
      <c r="A67" s="73">
        <v>32</v>
      </c>
      <c r="B67" s="74">
        <v>0</v>
      </c>
      <c r="C67" s="74">
        <f>C65+B67</f>
        <v>3.6749999999999403</v>
      </c>
      <c r="D67" s="74">
        <v>-0.38499999999994827</v>
      </c>
      <c r="E67" s="75">
        <f>E65+D67</f>
        <v>-16.282000000000053</v>
      </c>
      <c r="F67" s="76"/>
      <c r="G67" s="76"/>
      <c r="H67" s="74"/>
      <c r="I67" s="76"/>
      <c r="J67" s="81"/>
      <c r="K67" s="70"/>
      <c r="L67" s="65"/>
      <c r="M67" s="65"/>
      <c r="N67" s="65"/>
    </row>
    <row r="68" spans="1:14">
      <c r="A68" s="73"/>
      <c r="B68" s="74"/>
      <c r="C68" s="74"/>
      <c r="D68" s="74"/>
      <c r="E68" s="79"/>
      <c r="F68" s="76">
        <v>10</v>
      </c>
      <c r="G68" s="76">
        <f>TRUNC(((B67+B69)/2)*20,3)</f>
        <v>0</v>
      </c>
      <c r="H68" s="74">
        <f>H66+G68</f>
        <v>73.494</v>
      </c>
      <c r="I68" s="76">
        <f>TRUNC(((D67+D69)/2)*20,3)</f>
        <v>-5.8090000000000002</v>
      </c>
      <c r="J68" s="81">
        <f>J66+I68</f>
        <v>-327.58600000000007</v>
      </c>
      <c r="K68" s="70"/>
      <c r="L68" s="65"/>
      <c r="M68" s="65"/>
      <c r="N68" s="65"/>
    </row>
    <row r="69" spans="1:14">
      <c r="A69" s="73">
        <v>33</v>
      </c>
      <c r="B69" s="74">
        <v>0</v>
      </c>
      <c r="C69" s="74">
        <f>C67+B69</f>
        <v>3.6749999999999403</v>
      </c>
      <c r="D69" s="74">
        <v>-0.19599999999994111</v>
      </c>
      <c r="E69" s="75">
        <f>E67+D69</f>
        <v>-16.477999999999994</v>
      </c>
      <c r="F69" s="76"/>
      <c r="G69" s="76"/>
      <c r="H69" s="74"/>
      <c r="I69" s="76"/>
      <c r="J69" s="81"/>
      <c r="K69" s="70"/>
      <c r="L69" s="65"/>
      <c r="M69" s="65"/>
      <c r="N69" s="65"/>
    </row>
    <row r="70" spans="1:14">
      <c r="A70" s="73"/>
      <c r="B70" s="74"/>
      <c r="C70" s="74"/>
      <c r="D70" s="74"/>
      <c r="E70" s="79"/>
      <c r="F70" s="76">
        <v>10</v>
      </c>
      <c r="G70" s="76">
        <f>TRUNC(((B69+B71)/2)*20,3)</f>
        <v>0</v>
      </c>
      <c r="H70" s="74">
        <f>H68+G70</f>
        <v>73.494</v>
      </c>
      <c r="I70" s="76">
        <f>TRUNC(((D69+D71)/2)*20,3)</f>
        <v>-10.218999999999999</v>
      </c>
      <c r="J70" s="81">
        <f>J68+I70</f>
        <v>-337.80500000000006</v>
      </c>
      <c r="K70" s="70"/>
      <c r="L70" s="65"/>
      <c r="M70" s="65"/>
      <c r="N70" s="65"/>
    </row>
    <row r="71" spans="1:14">
      <c r="A71" s="73">
        <v>34</v>
      </c>
      <c r="B71" s="74">
        <v>0</v>
      </c>
      <c r="C71" s="74">
        <f>C69+B71</f>
        <v>3.6749999999999403</v>
      </c>
      <c r="D71" s="74">
        <v>-0.82599999999996498</v>
      </c>
      <c r="E71" s="75">
        <f>E69+D71</f>
        <v>-17.303999999999959</v>
      </c>
      <c r="F71" s="76"/>
      <c r="G71" s="76"/>
      <c r="H71" s="74"/>
      <c r="I71" s="76"/>
      <c r="J71" s="81"/>
      <c r="K71" s="70"/>
      <c r="L71" s="65"/>
      <c r="M71" s="65"/>
      <c r="N71" s="65"/>
    </row>
    <row r="72" spans="1:14">
      <c r="A72" s="73"/>
      <c r="B72" s="74"/>
      <c r="C72" s="74"/>
      <c r="D72" s="74"/>
      <c r="E72" s="79"/>
      <c r="F72" s="76">
        <v>10</v>
      </c>
      <c r="G72" s="76">
        <f>TRUNC(((B71+B73)/2)*20,3)</f>
        <v>0</v>
      </c>
      <c r="H72" s="74">
        <f>H70+G72</f>
        <v>73.494</v>
      </c>
      <c r="I72" s="76">
        <f>TRUNC(((D71+D73)/2)*20,3)</f>
        <v>-16.45</v>
      </c>
      <c r="J72" s="81">
        <f>J70+I72</f>
        <v>-354.25500000000005</v>
      </c>
      <c r="K72" s="70"/>
      <c r="L72" s="65"/>
      <c r="M72" s="65"/>
      <c r="N72" s="65"/>
    </row>
    <row r="73" spans="1:14">
      <c r="A73" s="73">
        <v>35</v>
      </c>
      <c r="B73" s="74">
        <v>0</v>
      </c>
      <c r="C73" s="74">
        <f>C71+B73</f>
        <v>3.6749999999999403</v>
      </c>
      <c r="D73" s="74">
        <v>-0.81900000000003104</v>
      </c>
      <c r="E73" s="75">
        <f>E71+D73</f>
        <v>-18.12299999999999</v>
      </c>
      <c r="F73" s="76"/>
      <c r="G73" s="76"/>
      <c r="H73" s="74"/>
      <c r="I73" s="76"/>
      <c r="J73" s="81"/>
      <c r="K73" s="70"/>
      <c r="L73" s="65"/>
      <c r="M73" s="65"/>
      <c r="N73" s="65"/>
    </row>
    <row r="74" spans="1:14">
      <c r="A74" s="73"/>
      <c r="B74" s="74"/>
      <c r="C74" s="74"/>
      <c r="D74" s="74"/>
      <c r="E74" s="79"/>
      <c r="F74" s="76">
        <v>10</v>
      </c>
      <c r="G74" s="76">
        <f>TRUNC(((B73+B75)/2)*20,3)</f>
        <v>0</v>
      </c>
      <c r="H74" s="74">
        <f>H72+G74</f>
        <v>73.494</v>
      </c>
      <c r="I74" s="76">
        <f>TRUNC(((D73+D75)/2)*20,3)</f>
        <v>-14.28</v>
      </c>
      <c r="J74" s="81">
        <f>J72+I74</f>
        <v>-368.53500000000003</v>
      </c>
      <c r="K74" s="70"/>
      <c r="L74" s="65"/>
      <c r="M74" s="65"/>
      <c r="N74" s="65"/>
    </row>
    <row r="75" spans="1:14">
      <c r="A75" s="73">
        <v>36</v>
      </c>
      <c r="B75" s="74">
        <v>0</v>
      </c>
      <c r="C75" s="74">
        <f>C73+B75</f>
        <v>3.6749999999999403</v>
      </c>
      <c r="D75" s="74">
        <v>-0.60900000000002308</v>
      </c>
      <c r="E75" s="75">
        <f>E73+D75</f>
        <v>-18.732000000000014</v>
      </c>
      <c r="F75" s="76"/>
      <c r="G75" s="76"/>
      <c r="H75" s="74"/>
      <c r="I75" s="76"/>
      <c r="J75" s="81"/>
      <c r="K75" s="70"/>
      <c r="L75" s="65"/>
      <c r="M75" s="65"/>
      <c r="N75" s="65"/>
    </row>
    <row r="76" spans="1:14">
      <c r="A76" s="73"/>
      <c r="B76" s="74"/>
      <c r="C76" s="74"/>
      <c r="D76" s="74"/>
      <c r="E76" s="79"/>
      <c r="F76" s="76">
        <v>10</v>
      </c>
      <c r="G76" s="76">
        <f>TRUNC(((B75+B77)/2)*20,3)</f>
        <v>0</v>
      </c>
      <c r="H76" s="74">
        <f>H74+G76</f>
        <v>73.494</v>
      </c>
      <c r="I76" s="76">
        <f>TRUNC(((D75+D77)/2)*20,3)</f>
        <v>-9.7289999999999992</v>
      </c>
      <c r="J76" s="81">
        <f>J74+I76</f>
        <v>-378.26400000000001</v>
      </c>
      <c r="K76" s="70"/>
      <c r="L76" s="65"/>
      <c r="M76" s="65"/>
      <c r="N76" s="65"/>
    </row>
    <row r="77" spans="1:14">
      <c r="A77" s="73">
        <v>37</v>
      </c>
      <c r="B77" s="74">
        <v>0</v>
      </c>
      <c r="C77" s="74">
        <f>C75+B77</f>
        <v>3.6749999999999403</v>
      </c>
      <c r="D77" s="74">
        <v>-0.36399999999994748</v>
      </c>
      <c r="E77" s="75">
        <f>E75+D77</f>
        <v>-19.095999999999961</v>
      </c>
      <c r="F77" s="76"/>
      <c r="G77" s="76"/>
      <c r="H77" s="74"/>
      <c r="I77" s="76"/>
      <c r="J77" s="81"/>
      <c r="K77" s="70"/>
      <c r="L77" s="65"/>
      <c r="M77" s="65"/>
      <c r="N77" s="65"/>
    </row>
    <row r="78" spans="1:14">
      <c r="A78" s="73"/>
      <c r="B78" s="74"/>
      <c r="C78" s="74"/>
      <c r="D78" s="74"/>
      <c r="E78" s="79"/>
      <c r="F78" s="76">
        <v>10</v>
      </c>
      <c r="G78" s="76">
        <f>TRUNC(((B77+B79)/2)*20,3)</f>
        <v>0.84</v>
      </c>
      <c r="H78" s="74">
        <f>H76+G78</f>
        <v>74.334000000000003</v>
      </c>
      <c r="I78" s="76">
        <f>TRUNC(((D77+D79)/2)*20,3)</f>
        <v>-3.6389999999999998</v>
      </c>
      <c r="J78" s="81">
        <f>J76+I78</f>
        <v>-381.90300000000002</v>
      </c>
      <c r="K78" s="70"/>
      <c r="L78" s="65"/>
      <c r="M78" s="65"/>
      <c r="N78" s="65"/>
    </row>
    <row r="79" spans="1:14">
      <c r="A79" s="73">
        <v>38</v>
      </c>
      <c r="B79" s="74">
        <v>8.4000000000003183E-2</v>
      </c>
      <c r="C79" s="74">
        <f>C77+B79</f>
        <v>3.7589999999999435</v>
      </c>
      <c r="D79" s="74">
        <v>0</v>
      </c>
      <c r="E79" s="75">
        <f>E77+D79</f>
        <v>-19.095999999999961</v>
      </c>
      <c r="F79" s="76"/>
      <c r="G79" s="76"/>
      <c r="H79" s="74"/>
      <c r="I79" s="76"/>
      <c r="J79" s="81"/>
      <c r="K79" s="70"/>
      <c r="L79" s="65"/>
      <c r="M79" s="65"/>
      <c r="N79" s="65"/>
    </row>
    <row r="80" spans="1:14">
      <c r="A80" s="73"/>
      <c r="B80" s="74"/>
      <c r="C80" s="74"/>
      <c r="D80" s="74"/>
      <c r="E80" s="79"/>
      <c r="F80" s="76">
        <v>10</v>
      </c>
      <c r="G80" s="76">
        <f>TRUNC(((B79+B81)/2)*20,3)</f>
        <v>0.84</v>
      </c>
      <c r="H80" s="74">
        <f>H78+G80</f>
        <v>75.174000000000007</v>
      </c>
      <c r="I80" s="76">
        <f>TRUNC(((D79+D81)/2)*20,3)</f>
        <v>-1.96</v>
      </c>
      <c r="J80" s="81">
        <f>J78+I80</f>
        <v>-383.863</v>
      </c>
      <c r="K80" s="70"/>
      <c r="L80" s="65"/>
      <c r="M80" s="65"/>
      <c r="N80" s="65"/>
    </row>
    <row r="81" spans="1:14">
      <c r="A81" s="73">
        <v>39</v>
      </c>
      <c r="B81" s="74">
        <v>0</v>
      </c>
      <c r="C81" s="74">
        <f>C79+B81</f>
        <v>3.7589999999999435</v>
      </c>
      <c r="D81" s="74">
        <v>-0.19600000000004059</v>
      </c>
      <c r="E81" s="75">
        <f>E79+D81</f>
        <v>-19.292000000000002</v>
      </c>
      <c r="F81" s="76"/>
      <c r="G81" s="76"/>
      <c r="H81" s="74"/>
      <c r="I81" s="76"/>
      <c r="J81" s="81"/>
      <c r="K81" s="70"/>
      <c r="L81" s="65"/>
      <c r="M81" s="65"/>
      <c r="N81" s="65"/>
    </row>
    <row r="82" spans="1:14">
      <c r="A82" s="73"/>
      <c r="B82" s="74"/>
      <c r="C82" s="74"/>
      <c r="D82" s="74"/>
      <c r="E82" s="79"/>
      <c r="F82" s="76">
        <v>10</v>
      </c>
      <c r="G82" s="76">
        <f>TRUNC(((B81+B83)/2)*20,3)</f>
        <v>0</v>
      </c>
      <c r="H82" s="74">
        <f>H80+G82</f>
        <v>75.174000000000007</v>
      </c>
      <c r="I82" s="76">
        <f>TRUNC(((D81+D83)/2)*20,3)</f>
        <v>-79.52</v>
      </c>
      <c r="J82" s="81">
        <f>J80+I82</f>
        <v>-463.38299999999998</v>
      </c>
      <c r="K82" s="70"/>
      <c r="L82" s="65"/>
      <c r="M82" s="65"/>
      <c r="N82" s="65"/>
    </row>
    <row r="83" spans="1:14">
      <c r="A83" s="73">
        <v>40</v>
      </c>
      <c r="B83" s="74">
        <v>0</v>
      </c>
      <c r="C83" s="74">
        <f>C81+B83</f>
        <v>3.7589999999999435</v>
      </c>
      <c r="D83" s="74">
        <v>-7.7560000000000286</v>
      </c>
      <c r="E83" s="75">
        <f>E81+D83</f>
        <v>-27.04800000000003</v>
      </c>
      <c r="F83" s="76"/>
      <c r="G83" s="76"/>
      <c r="H83" s="74"/>
      <c r="I83" s="76"/>
      <c r="J83" s="81"/>
      <c r="K83" s="70"/>
      <c r="L83" s="65"/>
      <c r="M83" s="65"/>
      <c r="N83" s="65"/>
    </row>
    <row r="84" spans="1:14">
      <c r="A84" s="73"/>
      <c r="B84" s="74"/>
      <c r="C84" s="74"/>
      <c r="D84" s="74"/>
      <c r="E84" s="79"/>
      <c r="F84" s="76">
        <v>10</v>
      </c>
      <c r="G84" s="76">
        <f>TRUNC(((B83+B85)/2)*20,3)</f>
        <v>0</v>
      </c>
      <c r="H84" s="74">
        <f>H82+G84</f>
        <v>75.174000000000007</v>
      </c>
      <c r="I84" s="76">
        <f>TRUNC(((D83+D85)/2)*20,3)</f>
        <v>-83.65</v>
      </c>
      <c r="J84" s="81">
        <f>J82+I84</f>
        <v>-547.03300000000002</v>
      </c>
      <c r="K84" s="70"/>
      <c r="L84" s="65"/>
      <c r="M84" s="65"/>
      <c r="N84" s="65"/>
    </row>
    <row r="85" spans="1:14">
      <c r="A85" s="73">
        <v>41</v>
      </c>
      <c r="B85" s="74">
        <v>0</v>
      </c>
      <c r="C85" s="74">
        <f>C83+B85</f>
        <v>3.7589999999999435</v>
      </c>
      <c r="D85" s="74">
        <v>-0.60900000000002308</v>
      </c>
      <c r="E85" s="75">
        <f>E83+D85</f>
        <v>-27.657000000000053</v>
      </c>
      <c r="F85" s="76"/>
      <c r="G85" s="76"/>
      <c r="H85" s="74"/>
      <c r="I85" s="76"/>
      <c r="J85" s="81"/>
      <c r="K85" s="70"/>
      <c r="L85" s="65"/>
      <c r="M85" s="65"/>
      <c r="N85" s="65"/>
    </row>
    <row r="86" spans="1:14">
      <c r="A86" s="73"/>
      <c r="B86" s="74"/>
      <c r="C86" s="74"/>
      <c r="D86" s="74"/>
      <c r="E86" s="79"/>
      <c r="F86" s="76">
        <v>10</v>
      </c>
      <c r="G86" s="76">
        <f>TRUNC(((B85+B87)/2)*20,3)</f>
        <v>0</v>
      </c>
      <c r="H86" s="74">
        <f>H84+G86</f>
        <v>75.174000000000007</v>
      </c>
      <c r="I86" s="76">
        <f>TRUNC(((D85+D87)/2)*20,3)</f>
        <v>-12.46</v>
      </c>
      <c r="J86" s="81">
        <f>J84+I86</f>
        <v>-559.49300000000005</v>
      </c>
      <c r="K86" s="70"/>
      <c r="L86" s="65"/>
      <c r="M86" s="65"/>
      <c r="N86" s="65"/>
    </row>
    <row r="87" spans="1:14">
      <c r="A87" s="73">
        <v>42</v>
      </c>
      <c r="B87" s="74">
        <v>0</v>
      </c>
      <c r="C87" s="74">
        <f>C85+B87</f>
        <v>3.7589999999999435</v>
      </c>
      <c r="D87" s="74">
        <v>-0.6370000000000573</v>
      </c>
      <c r="E87" s="75">
        <f>E85+D87</f>
        <v>-28.294000000000111</v>
      </c>
      <c r="F87" s="76"/>
      <c r="G87" s="76"/>
      <c r="H87" s="74"/>
      <c r="I87" s="76"/>
      <c r="J87" s="81"/>
      <c r="K87" s="70"/>
      <c r="L87" s="65"/>
      <c r="M87" s="65"/>
      <c r="N87" s="65"/>
    </row>
    <row r="88" spans="1:14">
      <c r="A88" s="73"/>
      <c r="B88" s="74"/>
      <c r="C88" s="74"/>
      <c r="D88" s="74"/>
      <c r="E88" s="79"/>
      <c r="F88" s="76">
        <v>10</v>
      </c>
      <c r="G88" s="76">
        <f>TRUNC(((B87+B89)/2)*20,3)</f>
        <v>0</v>
      </c>
      <c r="H88" s="74">
        <f>H86+G88</f>
        <v>75.174000000000007</v>
      </c>
      <c r="I88" s="76">
        <f>TRUNC(((D87+D89)/2)*20,3)</f>
        <v>-8.82</v>
      </c>
      <c r="J88" s="81">
        <f>J86+I88</f>
        <v>-568.3130000000001</v>
      </c>
      <c r="K88" s="70"/>
      <c r="L88" s="65"/>
      <c r="M88" s="65"/>
      <c r="N88" s="65"/>
    </row>
    <row r="89" spans="1:14">
      <c r="A89" s="73">
        <v>43</v>
      </c>
      <c r="B89" s="74">
        <v>0</v>
      </c>
      <c r="C89" s="74">
        <f>C87+B89</f>
        <v>3.7589999999999435</v>
      </c>
      <c r="D89" s="74">
        <v>-0.24499999999997613</v>
      </c>
      <c r="E89" s="75">
        <f>E87+D89</f>
        <v>-28.539000000000087</v>
      </c>
      <c r="F89" s="76"/>
      <c r="G89" s="76"/>
      <c r="H89" s="74"/>
      <c r="I89" s="76"/>
      <c r="J89" s="81"/>
      <c r="K89" s="70"/>
      <c r="L89" s="65"/>
      <c r="M89" s="65"/>
      <c r="N89" s="65"/>
    </row>
    <row r="90" spans="1:14">
      <c r="A90" s="73"/>
      <c r="B90" s="74"/>
      <c r="C90" s="74"/>
      <c r="D90" s="74"/>
      <c r="E90" s="79"/>
      <c r="F90" s="76">
        <v>10</v>
      </c>
      <c r="G90" s="76">
        <f>TRUNC(((B89+B91)/2)*20,3)</f>
        <v>4.1289999999999996</v>
      </c>
      <c r="H90" s="74">
        <f>H88+G90</f>
        <v>79.303000000000011</v>
      </c>
      <c r="I90" s="76">
        <f>TRUNC(((D89+D91)/2)*20,3)</f>
        <v>-2.4489999999999998</v>
      </c>
      <c r="J90" s="81">
        <f>J88+I90</f>
        <v>-570.76200000000006</v>
      </c>
      <c r="K90" s="70"/>
      <c r="L90" s="65"/>
      <c r="M90" s="65"/>
      <c r="N90" s="65"/>
    </row>
    <row r="91" spans="1:14">
      <c r="A91" s="73">
        <v>44</v>
      </c>
      <c r="B91" s="74">
        <v>0.41299999999998249</v>
      </c>
      <c r="C91" s="74">
        <f>C89+B91</f>
        <v>4.171999999999926</v>
      </c>
      <c r="D91" s="74">
        <v>0</v>
      </c>
      <c r="E91" s="75">
        <f>E89+D91</f>
        <v>-28.539000000000087</v>
      </c>
      <c r="F91" s="76"/>
      <c r="G91" s="76"/>
      <c r="H91" s="74"/>
      <c r="I91" s="76"/>
      <c r="J91" s="81"/>
      <c r="K91" s="70"/>
      <c r="L91" s="65"/>
      <c r="M91" s="65"/>
      <c r="N91" s="65"/>
    </row>
    <row r="92" spans="1:14">
      <c r="A92" s="73"/>
      <c r="B92" s="74"/>
      <c r="C92" s="74"/>
      <c r="D92" s="74"/>
      <c r="E92" s="79"/>
      <c r="F92" s="76">
        <v>10</v>
      </c>
      <c r="G92" s="76">
        <f>TRUNC(((B91+B93)/2)*20,3)</f>
        <v>30.24</v>
      </c>
      <c r="H92" s="74">
        <f>H90+G92</f>
        <v>109.54300000000001</v>
      </c>
      <c r="I92" s="76">
        <f>TRUNC(((D91+D93)/2)*20,3)</f>
        <v>0</v>
      </c>
      <c r="J92" s="81">
        <f>J90+I92</f>
        <v>-570.76200000000006</v>
      </c>
      <c r="K92" s="70"/>
      <c r="L92" s="65"/>
      <c r="M92" s="65"/>
      <c r="N92" s="65"/>
    </row>
    <row r="93" spans="1:14">
      <c r="A93" s="73">
        <v>45</v>
      </c>
      <c r="B93" s="74">
        <v>2.6110000000000326</v>
      </c>
      <c r="C93" s="74">
        <f>C91+B93</f>
        <v>6.7829999999999586</v>
      </c>
      <c r="D93" s="74">
        <v>0</v>
      </c>
      <c r="E93" s="75">
        <f>E91+D93</f>
        <v>-28.539000000000087</v>
      </c>
      <c r="F93" s="76"/>
      <c r="G93" s="76"/>
      <c r="H93" s="74"/>
      <c r="I93" s="76"/>
      <c r="J93" s="81"/>
      <c r="K93" s="70"/>
      <c r="L93" s="65"/>
      <c r="M93" s="65"/>
      <c r="N93" s="65"/>
    </row>
    <row r="94" spans="1:14">
      <c r="A94" s="73"/>
      <c r="B94" s="74"/>
      <c r="C94" s="74"/>
      <c r="D94" s="74"/>
      <c r="E94" s="79"/>
      <c r="F94" s="76">
        <v>10</v>
      </c>
      <c r="G94" s="76">
        <f>TRUNC(((B93+B95)/2)*20,3)</f>
        <v>26.11</v>
      </c>
      <c r="H94" s="74">
        <f>H92+G94</f>
        <v>135.65300000000002</v>
      </c>
      <c r="I94" s="76">
        <f>TRUNC(((D93+D95)/2)*20,3)</f>
        <v>-2.1</v>
      </c>
      <c r="J94" s="81">
        <f>J92+I94</f>
        <v>-572.86200000000008</v>
      </c>
      <c r="K94" s="70"/>
      <c r="L94" s="65"/>
      <c r="M94" s="65"/>
      <c r="N94" s="65"/>
    </row>
    <row r="95" spans="1:14">
      <c r="A95" s="73">
        <v>46</v>
      </c>
      <c r="B95" s="74">
        <v>0</v>
      </c>
      <c r="C95" s="74">
        <f>C93+B95</f>
        <v>6.7829999999999586</v>
      </c>
      <c r="D95" s="74">
        <v>-0.21000000000000796</v>
      </c>
      <c r="E95" s="75">
        <f>E93+D95</f>
        <v>-28.749000000000095</v>
      </c>
      <c r="F95" s="76"/>
      <c r="G95" s="76"/>
      <c r="H95" s="74"/>
      <c r="I95" s="76"/>
      <c r="J95" s="81"/>
      <c r="K95" s="70"/>
      <c r="L95" s="65"/>
      <c r="M95" s="65"/>
      <c r="N95" s="65"/>
    </row>
    <row r="96" spans="1:14">
      <c r="A96" s="73"/>
      <c r="B96" s="74"/>
      <c r="C96" s="74"/>
      <c r="D96" s="74"/>
      <c r="E96" s="79"/>
      <c r="F96" s="76">
        <v>10</v>
      </c>
      <c r="G96" s="76">
        <f>TRUNC(((B95+B97)/2)*20,3)</f>
        <v>14.978999999999999</v>
      </c>
      <c r="H96" s="74">
        <f>H94+G96</f>
        <v>150.63200000000001</v>
      </c>
      <c r="I96" s="76">
        <f>TRUNC(((D95+D97)/2)*20,3)</f>
        <v>-2.1</v>
      </c>
      <c r="J96" s="81">
        <f>J94+I96</f>
        <v>-574.9620000000001</v>
      </c>
      <c r="K96" s="70"/>
      <c r="L96" s="65"/>
      <c r="M96" s="65"/>
      <c r="N96" s="65"/>
    </row>
    <row r="97" spans="1:14">
      <c r="A97" s="73">
        <v>47</v>
      </c>
      <c r="B97" s="74">
        <v>1.4979999999999905</v>
      </c>
      <c r="C97" s="74">
        <f>C95+B97</f>
        <v>8.2809999999999491</v>
      </c>
      <c r="D97" s="74">
        <v>0</v>
      </c>
      <c r="E97" s="75">
        <f>E95+D97</f>
        <v>-28.749000000000095</v>
      </c>
      <c r="F97" s="76"/>
      <c r="G97" s="76"/>
      <c r="H97" s="74"/>
      <c r="I97" s="76"/>
      <c r="J97" s="81"/>
      <c r="K97" s="70"/>
      <c r="L97" s="65"/>
      <c r="M97" s="65"/>
      <c r="N97" s="65"/>
    </row>
    <row r="98" spans="1:14">
      <c r="A98" s="73"/>
      <c r="B98" s="74"/>
      <c r="C98" s="74"/>
      <c r="D98" s="74"/>
      <c r="E98" s="79"/>
      <c r="F98" s="76">
        <v>10</v>
      </c>
      <c r="G98" s="76">
        <f>TRUNC(((B97+B99)/2)*20,3)</f>
        <v>17.079999999999998</v>
      </c>
      <c r="H98" s="74">
        <f>H96+G98</f>
        <v>167.71199999999999</v>
      </c>
      <c r="I98" s="76">
        <f>TRUNC(((D97+D99)/2)*20,3)</f>
        <v>0</v>
      </c>
      <c r="J98" s="81">
        <f>J96+I98</f>
        <v>-574.9620000000001</v>
      </c>
      <c r="K98" s="70"/>
      <c r="L98" s="65"/>
      <c r="M98" s="65"/>
      <c r="N98" s="65"/>
    </row>
    <row r="99" spans="1:14">
      <c r="A99" s="73">
        <v>48</v>
      </c>
      <c r="B99" s="74">
        <v>0.21000000000000796</v>
      </c>
      <c r="C99" s="74">
        <f>C97+B99</f>
        <v>8.490999999999957</v>
      </c>
      <c r="D99" s="74">
        <v>0</v>
      </c>
      <c r="E99" s="75">
        <f>E97+D99</f>
        <v>-28.749000000000095</v>
      </c>
      <c r="F99" s="76"/>
      <c r="G99" s="76"/>
      <c r="H99" s="74"/>
      <c r="I99" s="76"/>
      <c r="J99" s="81"/>
      <c r="K99" s="70"/>
      <c r="L99" s="65"/>
      <c r="M99" s="65"/>
      <c r="N99" s="65"/>
    </row>
    <row r="100" spans="1:14">
      <c r="A100" s="73"/>
      <c r="B100" s="74"/>
      <c r="C100" s="74"/>
      <c r="D100" s="74"/>
      <c r="E100" s="79"/>
      <c r="F100" s="76">
        <v>10</v>
      </c>
      <c r="G100" s="76">
        <f>TRUNC(((B99+B101)/2)*20,3)</f>
        <v>9.3089999999999993</v>
      </c>
      <c r="H100" s="74">
        <f>H98+G100</f>
        <v>177.02099999999999</v>
      </c>
      <c r="I100" s="76">
        <f>TRUNC(((D99+D101)/2)*20,3)</f>
        <v>0</v>
      </c>
      <c r="J100" s="81">
        <f>J98+I100</f>
        <v>-574.9620000000001</v>
      </c>
      <c r="K100" s="70"/>
      <c r="L100" s="65"/>
      <c r="M100" s="65"/>
      <c r="N100" s="65"/>
    </row>
    <row r="101" spans="1:14">
      <c r="A101" s="73">
        <v>49</v>
      </c>
      <c r="B101" s="74">
        <v>0.72099999999996101</v>
      </c>
      <c r="C101" s="74">
        <f>C99+B101</f>
        <v>9.211999999999918</v>
      </c>
      <c r="D101" s="74">
        <v>0</v>
      </c>
      <c r="E101" s="75">
        <f>E99+D101</f>
        <v>-28.749000000000095</v>
      </c>
      <c r="F101" s="76"/>
      <c r="G101" s="76"/>
      <c r="H101" s="74"/>
      <c r="I101" s="76"/>
      <c r="J101" s="81"/>
      <c r="K101" s="70"/>
      <c r="L101" s="65"/>
      <c r="M101" s="65"/>
      <c r="N101" s="65"/>
    </row>
    <row r="102" spans="1:14">
      <c r="A102" s="73"/>
      <c r="B102" s="74"/>
      <c r="C102" s="74"/>
      <c r="D102" s="74"/>
      <c r="E102" s="79"/>
      <c r="F102" s="76">
        <v>10</v>
      </c>
      <c r="G102" s="76">
        <f>TRUNC(((B101+B103)/2)*20,3)</f>
        <v>18.13</v>
      </c>
      <c r="H102" s="74">
        <f>H100+G102</f>
        <v>195.15099999999998</v>
      </c>
      <c r="I102" s="76">
        <f>TRUNC(((D101+D103)/2)*20,3)</f>
        <v>0</v>
      </c>
      <c r="J102" s="81">
        <f>J100+I102</f>
        <v>-574.9620000000001</v>
      </c>
      <c r="K102" s="70"/>
      <c r="L102" s="65"/>
      <c r="M102" s="65"/>
      <c r="N102" s="65"/>
    </row>
    <row r="103" spans="1:14">
      <c r="A103" s="73">
        <v>50</v>
      </c>
      <c r="B103" s="74">
        <v>1.0920000000000414</v>
      </c>
      <c r="C103" s="74">
        <f>C101+B103</f>
        <v>10.303999999999959</v>
      </c>
      <c r="D103" s="74">
        <v>0</v>
      </c>
      <c r="E103" s="75">
        <f>E101+D103</f>
        <v>-28.749000000000095</v>
      </c>
      <c r="F103" s="76"/>
      <c r="G103" s="76"/>
      <c r="H103" s="74"/>
      <c r="I103" s="76"/>
      <c r="J103" s="81"/>
      <c r="K103" s="70"/>
      <c r="L103" s="65"/>
      <c r="M103" s="65"/>
      <c r="N103" s="65"/>
    </row>
    <row r="104" spans="1:14">
      <c r="A104" s="73"/>
      <c r="B104" s="74"/>
      <c r="C104" s="74"/>
      <c r="D104" s="74"/>
      <c r="E104" s="79"/>
      <c r="F104" s="76">
        <v>10</v>
      </c>
      <c r="G104" s="76">
        <f>TRUNC(((B103+B105)/2)*20,3)</f>
        <v>10.92</v>
      </c>
      <c r="H104" s="74">
        <f>H102+G104</f>
        <v>206.07099999999997</v>
      </c>
      <c r="I104" s="76">
        <f>TRUNC(((D103+D105)/2)*20,3)</f>
        <v>-2.94</v>
      </c>
      <c r="J104" s="81">
        <f>J102+I104</f>
        <v>-577.90200000000016</v>
      </c>
      <c r="K104" s="70"/>
      <c r="L104" s="65"/>
      <c r="M104" s="65"/>
      <c r="N104" s="65"/>
    </row>
    <row r="105" spans="1:14">
      <c r="A105" s="73">
        <v>51</v>
      </c>
      <c r="B105" s="74">
        <v>0</v>
      </c>
      <c r="C105" s="74">
        <f>C103+B105</f>
        <v>10.303999999999959</v>
      </c>
      <c r="D105" s="74">
        <v>-0.29400000000001114</v>
      </c>
      <c r="E105" s="75">
        <f>E103+D105</f>
        <v>-29.043000000000106</v>
      </c>
      <c r="F105" s="76"/>
      <c r="G105" s="76"/>
      <c r="H105" s="74"/>
      <c r="I105" s="76"/>
      <c r="J105" s="81"/>
      <c r="K105" s="70"/>
      <c r="L105" s="65"/>
      <c r="M105" s="65"/>
      <c r="N105" s="65"/>
    </row>
    <row r="106" spans="1:14">
      <c r="A106" s="73"/>
      <c r="B106" s="74"/>
      <c r="C106" s="74"/>
      <c r="D106" s="74"/>
      <c r="E106" s="79"/>
      <c r="F106" s="76">
        <v>10</v>
      </c>
      <c r="G106" s="76">
        <f>TRUNC(((B105+B107)/2)*20,3)</f>
        <v>26.67</v>
      </c>
      <c r="H106" s="74">
        <f>H104+G106</f>
        <v>232.74099999999999</v>
      </c>
      <c r="I106" s="76">
        <f>TRUNC(((D105+D107)/2)*20,3)</f>
        <v>-2.94</v>
      </c>
      <c r="J106" s="81">
        <f>J104+I106</f>
        <v>-580.84200000000021</v>
      </c>
      <c r="K106" s="70"/>
      <c r="L106" s="65"/>
      <c r="M106" s="65"/>
      <c r="N106" s="65"/>
    </row>
    <row r="107" spans="1:14">
      <c r="A107" s="73">
        <v>52</v>
      </c>
      <c r="B107" s="74">
        <v>2.6670000000000016</v>
      </c>
      <c r="C107" s="74">
        <f>C105+B107</f>
        <v>12.970999999999961</v>
      </c>
      <c r="D107" s="74">
        <v>0</v>
      </c>
      <c r="E107" s="75">
        <f>E105+D107</f>
        <v>-29.043000000000106</v>
      </c>
      <c r="F107" s="76"/>
      <c r="G107" s="76"/>
      <c r="H107" s="74"/>
      <c r="I107" s="76"/>
      <c r="J107" s="81"/>
      <c r="K107" s="70"/>
      <c r="L107" s="65"/>
      <c r="M107" s="65"/>
      <c r="N107" s="65"/>
    </row>
    <row r="108" spans="1:14">
      <c r="A108" s="73"/>
      <c r="B108" s="74"/>
      <c r="C108" s="74"/>
      <c r="D108" s="74"/>
      <c r="E108" s="79"/>
      <c r="F108" s="76">
        <v>10</v>
      </c>
      <c r="G108" s="76">
        <f>TRUNC(((B107+B109)/2)*20,3)</f>
        <v>26.67</v>
      </c>
      <c r="H108" s="74">
        <f>H106+G108</f>
        <v>259.411</v>
      </c>
      <c r="I108" s="76">
        <f>TRUNC(((D107+D109)/2)*20,3)</f>
        <v>-5.46</v>
      </c>
      <c r="J108" s="81">
        <f>J106+I108</f>
        <v>-586.30200000000025</v>
      </c>
      <c r="K108" s="70"/>
      <c r="L108" s="65"/>
      <c r="M108" s="65"/>
      <c r="N108" s="65"/>
    </row>
    <row r="109" spans="1:14">
      <c r="A109" s="73">
        <v>53</v>
      </c>
      <c r="B109" s="74">
        <v>0</v>
      </c>
      <c r="C109" s="74">
        <f>C107+B109</f>
        <v>12.970999999999961</v>
      </c>
      <c r="D109" s="74">
        <v>-0.54600000000002069</v>
      </c>
      <c r="E109" s="75">
        <f>E107+D109</f>
        <v>-29.589000000000127</v>
      </c>
      <c r="F109" s="76"/>
      <c r="G109" s="76"/>
      <c r="H109" s="74"/>
      <c r="I109" s="76"/>
      <c r="J109" s="81"/>
      <c r="K109" s="70"/>
      <c r="L109" s="65"/>
      <c r="M109" s="65"/>
      <c r="N109" s="65"/>
    </row>
    <row r="110" spans="1:14">
      <c r="A110" s="73"/>
      <c r="B110" s="74"/>
      <c r="C110" s="74"/>
      <c r="D110" s="74"/>
      <c r="E110" s="79"/>
      <c r="F110" s="76">
        <v>10</v>
      </c>
      <c r="G110" s="76">
        <f>TRUNC(((B109+B111)/2)*20,3)</f>
        <v>0</v>
      </c>
      <c r="H110" s="74">
        <f>H108+G110</f>
        <v>259.411</v>
      </c>
      <c r="I110" s="76">
        <f>TRUNC(((D109+D111)/2)*20,3)</f>
        <v>-18.690000000000001</v>
      </c>
      <c r="J110" s="81">
        <f>J108+I110</f>
        <v>-604.9920000000003</v>
      </c>
      <c r="K110" s="70"/>
      <c r="L110" s="65"/>
      <c r="M110" s="65"/>
      <c r="N110" s="65"/>
    </row>
    <row r="111" spans="1:14">
      <c r="A111" s="73">
        <v>54</v>
      </c>
      <c r="B111" s="74">
        <v>0</v>
      </c>
      <c r="C111" s="74">
        <f>C109+B111</f>
        <v>12.970999999999961</v>
      </c>
      <c r="D111" s="74">
        <v>-1.3230000000000501</v>
      </c>
      <c r="E111" s="75">
        <f>E109+D111</f>
        <v>-30.912000000000177</v>
      </c>
      <c r="F111" s="76"/>
      <c r="G111" s="76"/>
      <c r="H111" s="74"/>
      <c r="I111" s="76"/>
      <c r="J111" s="81"/>
      <c r="K111" s="70"/>
      <c r="L111" s="65"/>
      <c r="M111" s="65"/>
      <c r="N111" s="65"/>
    </row>
    <row r="112" spans="1:14">
      <c r="A112" s="73"/>
      <c r="B112" s="74"/>
      <c r="C112" s="74"/>
      <c r="D112" s="74"/>
      <c r="E112" s="79"/>
      <c r="F112" s="76">
        <v>10</v>
      </c>
      <c r="G112" s="76">
        <f>TRUNC(((B111+B113)/2)*20,3)</f>
        <v>0</v>
      </c>
      <c r="H112" s="74">
        <f>H110+G112</f>
        <v>259.411</v>
      </c>
      <c r="I112" s="76">
        <f>TRUNC(((D111+D113)/2)*20,3)</f>
        <v>-19.739000000000001</v>
      </c>
      <c r="J112" s="81">
        <f>J110+I112</f>
        <v>-624.73100000000034</v>
      </c>
      <c r="K112" s="70"/>
      <c r="L112" s="65"/>
      <c r="M112" s="65"/>
      <c r="N112" s="65"/>
    </row>
    <row r="113" spans="1:14">
      <c r="A113" s="73">
        <v>55</v>
      </c>
      <c r="B113" s="74">
        <v>0</v>
      </c>
      <c r="C113" s="74">
        <f>C111+B113</f>
        <v>12.970999999999961</v>
      </c>
      <c r="D113" s="74">
        <v>-0.65099999999992519</v>
      </c>
      <c r="E113" s="75">
        <f>E111+D113</f>
        <v>-31.563000000000102</v>
      </c>
      <c r="F113" s="76"/>
      <c r="G113" s="76"/>
      <c r="H113" s="74"/>
      <c r="I113" s="76"/>
      <c r="J113" s="81"/>
      <c r="K113" s="70"/>
      <c r="L113" s="65"/>
      <c r="M113" s="65"/>
      <c r="N113" s="65"/>
    </row>
    <row r="114" spans="1:14">
      <c r="A114" s="73"/>
      <c r="B114" s="74"/>
      <c r="C114" s="74"/>
      <c r="D114" s="74"/>
      <c r="E114" s="79"/>
      <c r="F114" s="76">
        <v>10</v>
      </c>
      <c r="G114" s="76">
        <f>TRUNC(((B113+B115)/2)*20,3)</f>
        <v>5.8789999999999996</v>
      </c>
      <c r="H114" s="74">
        <f>H112+G114</f>
        <v>265.29000000000002</v>
      </c>
      <c r="I114" s="76">
        <f>TRUNC(((D113+D115)/2)*20,3)</f>
        <v>-6.5090000000000003</v>
      </c>
      <c r="J114" s="81">
        <f>J112+I114</f>
        <v>-631.24000000000035</v>
      </c>
      <c r="K114" s="70"/>
      <c r="L114" s="65"/>
      <c r="M114" s="65"/>
      <c r="N114" s="65"/>
    </row>
    <row r="115" spans="1:14">
      <c r="A115" s="73">
        <v>56</v>
      </c>
      <c r="B115" s="74">
        <v>0.58799999999992281</v>
      </c>
      <c r="C115" s="74">
        <f>C113+B115</f>
        <v>13.558999999999884</v>
      </c>
      <c r="D115" s="74">
        <v>0</v>
      </c>
      <c r="E115" s="75">
        <f>E113+D115</f>
        <v>-31.563000000000102</v>
      </c>
      <c r="F115" s="76"/>
      <c r="G115" s="76"/>
      <c r="H115" s="74"/>
      <c r="I115" s="76"/>
      <c r="J115" s="81"/>
      <c r="K115" s="70"/>
      <c r="L115" s="65"/>
      <c r="M115" s="65"/>
      <c r="N115" s="65"/>
    </row>
    <row r="116" spans="1:14">
      <c r="A116" s="73"/>
      <c r="B116" s="74"/>
      <c r="C116" s="74"/>
      <c r="D116" s="74"/>
      <c r="E116" s="79"/>
      <c r="F116" s="76">
        <v>10</v>
      </c>
      <c r="G116" s="76">
        <f>TRUNC(((B115+B117)/2)*20,3)</f>
        <v>5.8789999999999996</v>
      </c>
      <c r="H116" s="74">
        <f>H114+G116</f>
        <v>271.16900000000004</v>
      </c>
      <c r="I116" s="76">
        <f>TRUNC(((D115+D117)/2)*20,3)</f>
        <v>-7.56</v>
      </c>
      <c r="J116" s="81">
        <f>J114+I116</f>
        <v>-638.8000000000003</v>
      </c>
      <c r="K116" s="70"/>
      <c r="L116" s="65"/>
      <c r="M116" s="65"/>
      <c r="N116" s="65"/>
    </row>
    <row r="117" spans="1:14">
      <c r="A117" s="73">
        <v>57</v>
      </c>
      <c r="B117" s="74">
        <v>0</v>
      </c>
      <c r="C117" s="74">
        <f>C115+B117</f>
        <v>13.558999999999884</v>
      </c>
      <c r="D117" s="74">
        <v>-0.75600000000002865</v>
      </c>
      <c r="E117" s="75">
        <f>E115+D117</f>
        <v>-32.319000000000131</v>
      </c>
      <c r="F117" s="76"/>
      <c r="G117" s="76"/>
      <c r="H117" s="74"/>
      <c r="I117" s="76"/>
      <c r="J117" s="81"/>
      <c r="K117" s="70"/>
      <c r="L117" s="65"/>
      <c r="M117" s="65"/>
      <c r="N117" s="65"/>
    </row>
    <row r="118" spans="1:14">
      <c r="A118" s="73"/>
      <c r="B118" s="74"/>
      <c r="C118" s="74"/>
      <c r="D118" s="74"/>
      <c r="E118" s="79"/>
      <c r="F118" s="76">
        <v>10</v>
      </c>
      <c r="G118" s="76">
        <f>TRUNC(((B117+B119)/2)*20,3)</f>
        <v>1.9590000000000001</v>
      </c>
      <c r="H118" s="74">
        <f>H116+G118</f>
        <v>273.12800000000004</v>
      </c>
      <c r="I118" s="76">
        <f>TRUNC(((D117+D119)/2)*20,3)</f>
        <v>-7.56</v>
      </c>
      <c r="J118" s="81">
        <f>J116+I118</f>
        <v>-646.36000000000024</v>
      </c>
      <c r="K118" s="70"/>
      <c r="L118" s="65"/>
      <c r="M118" s="65"/>
      <c r="N118" s="65"/>
    </row>
    <row r="119" spans="1:14">
      <c r="A119" s="73">
        <v>58</v>
      </c>
      <c r="B119" s="74">
        <v>0.19599999999994111</v>
      </c>
      <c r="C119" s="74">
        <f>C117+B119</f>
        <v>13.754999999999825</v>
      </c>
      <c r="D119" s="74">
        <v>0</v>
      </c>
      <c r="E119" s="75">
        <f>E117+D119</f>
        <v>-32.319000000000131</v>
      </c>
      <c r="F119" s="76"/>
      <c r="G119" s="76"/>
      <c r="H119" s="74"/>
      <c r="I119" s="76"/>
      <c r="J119" s="81"/>
      <c r="K119" s="70"/>
      <c r="L119" s="65"/>
      <c r="M119" s="65"/>
      <c r="N119" s="65"/>
    </row>
    <row r="120" spans="1:14">
      <c r="A120" s="73"/>
      <c r="B120" s="74"/>
      <c r="C120" s="74"/>
      <c r="D120" s="74"/>
      <c r="E120" s="79"/>
      <c r="F120" s="76">
        <v>10</v>
      </c>
      <c r="G120" s="76">
        <f>TRUNC(((B119+B121)/2)*20,3)</f>
        <v>36.048999999999999</v>
      </c>
      <c r="H120" s="74">
        <f>H118+G120</f>
        <v>309.17700000000002</v>
      </c>
      <c r="I120" s="76">
        <f>TRUNC(((D119+D121)/2)*20,3)</f>
        <v>0</v>
      </c>
      <c r="J120" s="81">
        <f>J118+I120</f>
        <v>-646.36000000000024</v>
      </c>
      <c r="K120" s="70"/>
      <c r="L120" s="65"/>
      <c r="M120" s="65"/>
      <c r="N120" s="65"/>
    </row>
    <row r="121" spans="1:14">
      <c r="A121" s="73">
        <v>59</v>
      </c>
      <c r="B121" s="74">
        <v>3.4089999999999634</v>
      </c>
      <c r="C121" s="74">
        <f>C119+B121</f>
        <v>17.163999999999788</v>
      </c>
      <c r="D121" s="74">
        <v>0</v>
      </c>
      <c r="E121" s="75">
        <f>E119+D121</f>
        <v>-32.319000000000131</v>
      </c>
      <c r="F121" s="76"/>
      <c r="G121" s="76"/>
      <c r="H121" s="74"/>
      <c r="I121" s="76"/>
      <c r="J121" s="81"/>
      <c r="K121" s="70"/>
      <c r="L121" s="65"/>
      <c r="M121" s="65"/>
      <c r="N121" s="65"/>
    </row>
    <row r="122" spans="1:14">
      <c r="A122" s="73"/>
      <c r="B122" s="74"/>
      <c r="C122" s="74"/>
      <c r="D122" s="74"/>
      <c r="E122" s="79"/>
      <c r="F122" s="76">
        <v>10</v>
      </c>
      <c r="G122" s="76">
        <f>TRUNC(((B121+B123)/2)*20,3)</f>
        <v>34.088999999999999</v>
      </c>
      <c r="H122" s="74">
        <f>H120+G122</f>
        <v>343.26600000000002</v>
      </c>
      <c r="I122" s="76">
        <f>TRUNC(((D121+D123)/2)*20,3)</f>
        <v>-3.64</v>
      </c>
      <c r="J122" s="81">
        <f>J120+I122</f>
        <v>-650.00000000000023</v>
      </c>
      <c r="K122" s="70"/>
      <c r="L122" s="65"/>
      <c r="M122" s="65"/>
      <c r="N122" s="65"/>
    </row>
    <row r="123" spans="1:14">
      <c r="A123" s="73">
        <v>60</v>
      </c>
      <c r="B123" s="74">
        <v>0</v>
      </c>
      <c r="C123" s="74">
        <f>C121+B123</f>
        <v>17.163999999999788</v>
      </c>
      <c r="D123" s="74">
        <v>-0.36400000000004695</v>
      </c>
      <c r="E123" s="75">
        <f>E121+D123</f>
        <v>-32.683000000000177</v>
      </c>
      <c r="F123" s="76"/>
      <c r="G123" s="76"/>
      <c r="H123" s="74"/>
      <c r="I123" s="76"/>
      <c r="J123" s="81"/>
      <c r="K123" s="70"/>
      <c r="L123" s="65"/>
      <c r="M123" s="65"/>
      <c r="N123" s="65"/>
    </row>
    <row r="124" spans="1:14">
      <c r="A124" s="73"/>
      <c r="B124" s="74"/>
      <c r="C124" s="74"/>
      <c r="D124" s="74"/>
      <c r="E124" s="79"/>
      <c r="F124" s="76">
        <v>10</v>
      </c>
      <c r="G124" s="76">
        <f>TRUNC(((B123+B125)/2)*20,3)</f>
        <v>9.8689999999999998</v>
      </c>
      <c r="H124" s="74">
        <f>H122+G124</f>
        <v>353.13499999999999</v>
      </c>
      <c r="I124" s="76">
        <f>TRUNC(((D123+D125)/2)*20,3)</f>
        <v>-3.64</v>
      </c>
      <c r="J124" s="81">
        <f>J122+I124</f>
        <v>-653.64000000000021</v>
      </c>
      <c r="K124" s="70"/>
      <c r="L124" s="65"/>
      <c r="M124" s="65"/>
      <c r="N124" s="65"/>
    </row>
    <row r="125" spans="1:14">
      <c r="A125" s="73">
        <v>61</v>
      </c>
      <c r="B125" s="74">
        <v>0.98699999999993793</v>
      </c>
      <c r="C125" s="74">
        <f>C123+B125</f>
        <v>18.150999999999726</v>
      </c>
      <c r="D125" s="74">
        <v>0</v>
      </c>
      <c r="E125" s="75">
        <f>E123+D125</f>
        <v>-32.683000000000177</v>
      </c>
      <c r="F125" s="76"/>
      <c r="G125" s="76"/>
      <c r="H125" s="74"/>
      <c r="I125" s="76"/>
      <c r="J125" s="81"/>
      <c r="K125" s="70"/>
      <c r="L125" s="65"/>
      <c r="M125" s="65"/>
      <c r="N125" s="65"/>
    </row>
    <row r="126" spans="1:14">
      <c r="A126" s="73"/>
      <c r="B126" s="74"/>
      <c r="C126" s="74"/>
      <c r="D126" s="74"/>
      <c r="E126" s="79"/>
      <c r="F126" s="76">
        <v>10</v>
      </c>
      <c r="G126" s="76">
        <f>TRUNC(((B125+B127)/2)*20,3)</f>
        <v>33.529000000000003</v>
      </c>
      <c r="H126" s="74">
        <f>H124+G126</f>
        <v>386.66399999999999</v>
      </c>
      <c r="I126" s="76">
        <f>TRUNC(((D125+D127)/2)*20,3)</f>
        <v>0</v>
      </c>
      <c r="J126" s="81">
        <f>J124+I126</f>
        <v>-653.64000000000021</v>
      </c>
      <c r="K126" s="70"/>
      <c r="L126" s="65"/>
      <c r="M126" s="65"/>
      <c r="N126" s="65"/>
    </row>
    <row r="127" spans="1:14">
      <c r="A127" s="73">
        <v>62</v>
      </c>
      <c r="B127" s="74">
        <v>2.365999999999957</v>
      </c>
      <c r="C127" s="74">
        <f>C125+B127</f>
        <v>20.516999999999683</v>
      </c>
      <c r="D127" s="74">
        <v>0</v>
      </c>
      <c r="E127" s="75">
        <f>E125+D127</f>
        <v>-32.683000000000177</v>
      </c>
      <c r="F127" s="76"/>
      <c r="G127" s="76"/>
      <c r="H127" s="74"/>
      <c r="I127" s="76"/>
      <c r="J127" s="81"/>
      <c r="K127" s="70"/>
      <c r="L127" s="65"/>
      <c r="M127" s="65"/>
      <c r="N127" s="65"/>
    </row>
    <row r="128" spans="1:14">
      <c r="A128" s="73"/>
      <c r="B128" s="74"/>
      <c r="C128" s="74"/>
      <c r="D128" s="74"/>
      <c r="E128" s="79"/>
      <c r="F128" s="76">
        <v>10</v>
      </c>
      <c r="G128" s="76">
        <f>TRUNC(((B127+B129)/2)*20,3)</f>
        <v>23.658999999999999</v>
      </c>
      <c r="H128" s="74">
        <f>H126+G128</f>
        <v>410.32299999999998</v>
      </c>
      <c r="I128" s="76">
        <f>TRUNC(((D127+D129)/2)*20,3)</f>
        <v>-5.5990000000000002</v>
      </c>
      <c r="J128" s="81">
        <f>J126+I128</f>
        <v>-659.23900000000026</v>
      </c>
      <c r="K128" s="70"/>
      <c r="L128" s="65"/>
      <c r="M128" s="65"/>
      <c r="N128" s="65"/>
    </row>
    <row r="129" spans="1:14">
      <c r="A129" s="73">
        <v>63</v>
      </c>
      <c r="B129" s="74">
        <v>0</v>
      </c>
      <c r="C129" s="74">
        <f>C127+B129</f>
        <v>20.516999999999683</v>
      </c>
      <c r="D129" s="74">
        <v>-0.55999999999998806</v>
      </c>
      <c r="E129" s="75">
        <f>E127+D129</f>
        <v>-33.243000000000166</v>
      </c>
      <c r="F129" s="76"/>
      <c r="G129" s="76"/>
      <c r="H129" s="74"/>
      <c r="I129" s="76"/>
      <c r="J129" s="81"/>
      <c r="K129" s="70"/>
      <c r="L129" s="65"/>
      <c r="M129" s="65"/>
      <c r="N129" s="65"/>
    </row>
    <row r="130" spans="1:14">
      <c r="A130" s="73"/>
      <c r="B130" s="74"/>
      <c r="C130" s="74"/>
      <c r="D130" s="74"/>
      <c r="E130" s="79"/>
      <c r="F130" s="76">
        <v>10</v>
      </c>
      <c r="G130" s="76">
        <f>TRUNC(((B129+B131)/2)*20,3)</f>
        <v>1.47</v>
      </c>
      <c r="H130" s="74">
        <f>H128+G130</f>
        <v>411.79300000000001</v>
      </c>
      <c r="I130" s="76">
        <f>TRUNC(((D129+D131)/2)*20,3)</f>
        <v>-5.5990000000000002</v>
      </c>
      <c r="J130" s="81">
        <f>J128+I130</f>
        <v>-664.83800000000031</v>
      </c>
      <c r="K130" s="70"/>
      <c r="L130" s="65"/>
      <c r="M130" s="65"/>
      <c r="N130" s="65"/>
    </row>
    <row r="131" spans="1:14">
      <c r="A131" s="73">
        <v>64</v>
      </c>
      <c r="B131" s="74">
        <v>0.14700000000000557</v>
      </c>
      <c r="C131" s="74">
        <f>C129+B131</f>
        <v>20.663999999999689</v>
      </c>
      <c r="D131" s="74">
        <v>0</v>
      </c>
      <c r="E131" s="75">
        <f>E129+D131</f>
        <v>-33.243000000000166</v>
      </c>
      <c r="F131" s="76"/>
      <c r="G131" s="76"/>
      <c r="H131" s="74"/>
      <c r="I131" s="76"/>
      <c r="J131" s="81"/>
      <c r="K131" s="70"/>
      <c r="L131" s="65"/>
      <c r="M131" s="65"/>
      <c r="N131" s="65"/>
    </row>
    <row r="132" spans="1:14">
      <c r="A132" s="73"/>
      <c r="B132" s="74"/>
      <c r="C132" s="74"/>
      <c r="D132" s="74"/>
      <c r="E132" s="79"/>
      <c r="F132" s="76">
        <v>10</v>
      </c>
      <c r="G132" s="76">
        <f>TRUNC(((B131+B133)/2)*20,3)</f>
        <v>28.21</v>
      </c>
      <c r="H132" s="74">
        <f>H130+G132</f>
        <v>440.00299999999999</v>
      </c>
      <c r="I132" s="76">
        <f>TRUNC(((D131+D133)/2)*20,3)</f>
        <v>0</v>
      </c>
      <c r="J132" s="81">
        <f>J130+I132</f>
        <v>-664.83800000000031</v>
      </c>
      <c r="K132" s="70"/>
      <c r="L132" s="65"/>
      <c r="M132" s="65"/>
      <c r="N132" s="65"/>
    </row>
    <row r="133" spans="1:14">
      <c r="A133" s="73">
        <v>65</v>
      </c>
      <c r="B133" s="74">
        <v>2.674000000000035</v>
      </c>
      <c r="C133" s="74">
        <f>C131+B133</f>
        <v>23.337999999999724</v>
      </c>
      <c r="D133" s="74">
        <v>0</v>
      </c>
      <c r="E133" s="75">
        <f>E131+D133</f>
        <v>-33.243000000000166</v>
      </c>
      <c r="F133" s="76"/>
      <c r="G133" s="76"/>
      <c r="H133" s="74"/>
      <c r="I133" s="76"/>
      <c r="J133" s="81"/>
      <c r="K133" s="70"/>
      <c r="L133" s="65"/>
      <c r="M133" s="65"/>
      <c r="N133" s="65"/>
    </row>
    <row r="134" spans="1:14">
      <c r="A134" s="73"/>
      <c r="B134" s="74"/>
      <c r="C134" s="74"/>
      <c r="D134" s="74"/>
      <c r="E134" s="79"/>
      <c r="F134" s="76">
        <v>10</v>
      </c>
      <c r="G134" s="76">
        <f>TRUNC(((B133+B135)/2)*20,3)</f>
        <v>26.74</v>
      </c>
      <c r="H134" s="74">
        <f>H132+G134</f>
        <v>466.74299999999999</v>
      </c>
      <c r="I134" s="76">
        <f>TRUNC(((D133+D135)/2)*20,3)</f>
        <v>-2.6589999999999998</v>
      </c>
      <c r="J134" s="81">
        <f>J132+I134</f>
        <v>-667.4970000000003</v>
      </c>
      <c r="K134" s="70"/>
      <c r="L134" s="65"/>
      <c r="M134" s="65"/>
      <c r="N134" s="65"/>
    </row>
    <row r="135" spans="1:14">
      <c r="A135" s="73">
        <v>66</v>
      </c>
      <c r="B135" s="74">
        <v>0</v>
      </c>
      <c r="C135" s="74">
        <f>C133+B135</f>
        <v>23.337999999999724</v>
      </c>
      <c r="D135" s="74">
        <v>-0.26599999999997692</v>
      </c>
      <c r="E135" s="75">
        <f>E133+D135</f>
        <v>-33.509000000000142</v>
      </c>
      <c r="F135" s="76"/>
      <c r="G135" s="76"/>
      <c r="H135" s="74"/>
      <c r="I135" s="76"/>
      <c r="J135" s="81"/>
      <c r="K135" s="70"/>
      <c r="L135" s="65"/>
      <c r="M135" s="65"/>
      <c r="N135" s="65"/>
    </row>
    <row r="136" spans="1:14">
      <c r="A136" s="73"/>
      <c r="B136" s="74"/>
      <c r="C136" s="74"/>
      <c r="D136" s="74"/>
      <c r="E136" s="79"/>
      <c r="F136" s="76">
        <v>10</v>
      </c>
      <c r="G136" s="76">
        <f>TRUNC(((B135+B137)/2)*20,3)</f>
        <v>3.149</v>
      </c>
      <c r="H136" s="74">
        <f>H134+G136</f>
        <v>469.892</v>
      </c>
      <c r="I136" s="76">
        <f>TRUNC(((D135+D137)/2)*20,3)</f>
        <v>-2.6589999999999998</v>
      </c>
      <c r="J136" s="81">
        <f>J134+I136</f>
        <v>-670.15600000000029</v>
      </c>
      <c r="K136" s="70"/>
      <c r="L136" s="65"/>
      <c r="M136" s="65"/>
      <c r="N136" s="65"/>
    </row>
    <row r="137" spans="1:14">
      <c r="A137" s="73">
        <v>67</v>
      </c>
      <c r="B137" s="74">
        <v>0.31499999999991246</v>
      </c>
      <c r="C137" s="74">
        <f>C135+B137</f>
        <v>23.652999999999636</v>
      </c>
      <c r="D137" s="74">
        <v>0</v>
      </c>
      <c r="E137" s="75">
        <f>E135+D137</f>
        <v>-33.509000000000142</v>
      </c>
      <c r="F137" s="76"/>
      <c r="G137" s="76"/>
      <c r="H137" s="74"/>
      <c r="I137" s="76"/>
      <c r="J137" s="81"/>
      <c r="K137" s="70"/>
      <c r="L137" s="65"/>
      <c r="M137" s="65"/>
      <c r="N137" s="65"/>
    </row>
    <row r="138" spans="1:14">
      <c r="A138" s="73"/>
      <c r="B138" s="74"/>
      <c r="C138" s="74"/>
      <c r="D138" s="74"/>
      <c r="E138" s="79"/>
      <c r="F138" s="76">
        <v>10</v>
      </c>
      <c r="G138" s="76">
        <f>TRUNC(((B137+B139)/2)*20,3)</f>
        <v>18.689</v>
      </c>
      <c r="H138" s="74">
        <f>H136+G138</f>
        <v>488.58100000000002</v>
      </c>
      <c r="I138" s="76">
        <f>TRUNC(((D137+D139)/2)*20,3)</f>
        <v>0</v>
      </c>
      <c r="J138" s="81">
        <f>J136+I138</f>
        <v>-670.15600000000029</v>
      </c>
      <c r="K138" s="70"/>
      <c r="L138" s="65"/>
      <c r="M138" s="65"/>
      <c r="N138" s="65"/>
    </row>
    <row r="139" spans="1:14">
      <c r="A139" s="73">
        <v>68</v>
      </c>
      <c r="B139" s="74">
        <v>1.5540000000000589</v>
      </c>
      <c r="C139" s="74">
        <f>C137+B139</f>
        <v>25.206999999999695</v>
      </c>
      <c r="D139" s="74">
        <v>0</v>
      </c>
      <c r="E139" s="75">
        <f>E137+D139</f>
        <v>-33.509000000000142</v>
      </c>
      <c r="F139" s="76"/>
      <c r="G139" s="76"/>
      <c r="H139" s="74"/>
      <c r="I139" s="76"/>
      <c r="J139" s="81"/>
      <c r="K139" s="70"/>
      <c r="L139" s="65"/>
      <c r="M139" s="65"/>
      <c r="N139" s="65"/>
    </row>
    <row r="140" spans="1:14">
      <c r="A140" s="73"/>
      <c r="B140" s="74"/>
      <c r="C140" s="74"/>
      <c r="D140" s="74"/>
      <c r="E140" s="79"/>
      <c r="F140" s="76">
        <v>10</v>
      </c>
      <c r="G140" s="76">
        <f>TRUNC(((B139+B141)/2)*20,3)</f>
        <v>15.54</v>
      </c>
      <c r="H140" s="74">
        <f>H138+G140</f>
        <v>504.12100000000004</v>
      </c>
      <c r="I140" s="76">
        <f>TRUNC(((D139+D141)/2)*20,3)</f>
        <v>-12.81</v>
      </c>
      <c r="J140" s="81">
        <f>J138+I140</f>
        <v>-682.96600000000024</v>
      </c>
      <c r="K140" s="70"/>
      <c r="L140" s="65"/>
      <c r="M140" s="65"/>
      <c r="N140" s="65"/>
    </row>
    <row r="141" spans="1:14">
      <c r="A141" s="73">
        <v>69</v>
      </c>
      <c r="B141" s="74">
        <v>0</v>
      </c>
      <c r="C141" s="74">
        <f>C139+B141</f>
        <v>25.206999999999695</v>
      </c>
      <c r="D141" s="74">
        <v>-1.2810000000000485</v>
      </c>
      <c r="E141" s="75">
        <f>E139+D141</f>
        <v>-34.790000000000191</v>
      </c>
      <c r="F141" s="76"/>
      <c r="G141" s="76"/>
      <c r="H141" s="74"/>
      <c r="I141" s="76"/>
      <c r="J141" s="81"/>
      <c r="K141" s="70"/>
      <c r="L141" s="65"/>
      <c r="M141" s="65"/>
      <c r="N141" s="65"/>
    </row>
    <row r="142" spans="1:14">
      <c r="A142" s="73"/>
      <c r="B142" s="74"/>
      <c r="C142" s="74"/>
      <c r="D142" s="74"/>
      <c r="E142" s="79"/>
      <c r="F142" s="76">
        <v>10</v>
      </c>
      <c r="G142" s="76">
        <f>TRUNC(((B141+B143)/2)*20,3)</f>
        <v>1.89</v>
      </c>
      <c r="H142" s="74">
        <f>H140+G142</f>
        <v>506.01100000000002</v>
      </c>
      <c r="I142" s="76">
        <f>TRUNC(((D141+D143)/2)*20,3)</f>
        <v>-12.81</v>
      </c>
      <c r="J142" s="81">
        <f>J140+I142</f>
        <v>-695.77600000000018</v>
      </c>
      <c r="K142" s="70"/>
      <c r="L142" s="65"/>
      <c r="M142" s="65"/>
      <c r="N142" s="65"/>
    </row>
    <row r="143" spans="1:14">
      <c r="A143" s="73">
        <v>70</v>
      </c>
      <c r="B143" s="74">
        <v>0.18900000000000716</v>
      </c>
      <c r="C143" s="74">
        <f>C141+B143</f>
        <v>25.395999999999702</v>
      </c>
      <c r="D143" s="74">
        <v>0</v>
      </c>
      <c r="E143" s="75">
        <f>E141+D143</f>
        <v>-34.790000000000191</v>
      </c>
      <c r="F143" s="76"/>
      <c r="G143" s="76"/>
      <c r="H143" s="74"/>
      <c r="I143" s="76"/>
      <c r="J143" s="81"/>
      <c r="K143" s="70"/>
      <c r="L143" s="65"/>
      <c r="M143" s="65"/>
      <c r="N143" s="65"/>
    </row>
    <row r="144" spans="1:14">
      <c r="A144" s="73"/>
      <c r="B144" s="74"/>
      <c r="C144" s="74"/>
      <c r="D144" s="74"/>
      <c r="E144" s="79"/>
      <c r="F144" s="76">
        <v>10</v>
      </c>
      <c r="G144" s="76">
        <f>TRUNC(((B143+B145)/2)*20,3)</f>
        <v>1.89</v>
      </c>
      <c r="H144" s="74">
        <f>H142+G144</f>
        <v>507.90100000000001</v>
      </c>
      <c r="I144" s="76">
        <f>TRUNC(((D143+D145)/2)*20,3)</f>
        <v>-1.609</v>
      </c>
      <c r="J144" s="81">
        <f>J142+I144</f>
        <v>-697.38500000000022</v>
      </c>
      <c r="K144" s="70"/>
      <c r="L144" s="65"/>
      <c r="M144" s="65"/>
      <c r="N144" s="65"/>
    </row>
    <row r="145" spans="1:14">
      <c r="A145" s="73">
        <v>71</v>
      </c>
      <c r="B145" s="74">
        <v>0</v>
      </c>
      <c r="C145" s="74">
        <f>C143+B145</f>
        <v>25.395999999999702</v>
      </c>
      <c r="D145" s="74">
        <v>-0.16099999999997294</v>
      </c>
      <c r="E145" s="75">
        <f>E143+D145</f>
        <v>-34.951000000000164</v>
      </c>
      <c r="F145" s="76"/>
      <c r="G145" s="76"/>
      <c r="H145" s="74"/>
      <c r="I145" s="76"/>
      <c r="J145" s="81"/>
      <c r="K145" s="70"/>
      <c r="L145" s="65"/>
      <c r="M145" s="65"/>
      <c r="N145" s="65"/>
    </row>
    <row r="146" spans="1:14">
      <c r="A146" s="73"/>
      <c r="B146" s="74"/>
      <c r="C146" s="74"/>
      <c r="D146" s="74"/>
      <c r="E146" s="79"/>
      <c r="F146" s="76">
        <v>10</v>
      </c>
      <c r="G146" s="76">
        <f>TRUNC(((B145+B147)/2)*20,3)</f>
        <v>0</v>
      </c>
      <c r="H146" s="74">
        <f>H144+G146</f>
        <v>507.90100000000001</v>
      </c>
      <c r="I146" s="76">
        <f>TRUNC(((D145+D147)/2)*20,3)</f>
        <v>-5.1790000000000003</v>
      </c>
      <c r="J146" s="81">
        <f>J144+I146</f>
        <v>-702.56400000000019</v>
      </c>
      <c r="K146" s="70"/>
      <c r="L146" s="65"/>
      <c r="M146" s="65"/>
      <c r="N146" s="65"/>
    </row>
    <row r="147" spans="1:14">
      <c r="A147" s="73">
        <v>72</v>
      </c>
      <c r="B147" s="74">
        <v>0</v>
      </c>
      <c r="C147" s="74">
        <f>C145+B147</f>
        <v>25.395999999999702</v>
      </c>
      <c r="D147" s="74">
        <v>-0.35700000000001353</v>
      </c>
      <c r="E147" s="75">
        <f>E145+D147</f>
        <v>-35.308000000000177</v>
      </c>
      <c r="F147" s="76"/>
      <c r="G147" s="76"/>
      <c r="H147" s="74"/>
      <c r="I147" s="76"/>
      <c r="J147" s="81"/>
      <c r="K147" s="70"/>
      <c r="L147" s="65"/>
      <c r="M147" s="65"/>
      <c r="N147" s="65"/>
    </row>
    <row r="148" spans="1:14">
      <c r="A148" s="73"/>
      <c r="B148" s="74"/>
      <c r="C148" s="74"/>
      <c r="D148" s="74"/>
      <c r="E148" s="79"/>
      <c r="F148" s="76">
        <v>10</v>
      </c>
      <c r="G148" s="76">
        <f>TRUNC(((B147+B149)/2)*20,3)</f>
        <v>18.268999999999998</v>
      </c>
      <c r="H148" s="74">
        <f>H146+G148</f>
        <v>526.16999999999996</v>
      </c>
      <c r="I148" s="76">
        <f>TRUNC(((D147+D149)/2)*20,3)</f>
        <v>-3.57</v>
      </c>
      <c r="J148" s="81">
        <f>J146+I148</f>
        <v>-706.13400000000024</v>
      </c>
      <c r="K148" s="70"/>
      <c r="L148" s="65"/>
      <c r="M148" s="65"/>
      <c r="N148" s="65"/>
    </row>
    <row r="149" spans="1:14">
      <c r="A149" s="73">
        <v>73</v>
      </c>
      <c r="B149" s="74">
        <v>1.8269999999999698</v>
      </c>
      <c r="C149" s="74">
        <f>C147+B149</f>
        <v>27.222999999999672</v>
      </c>
      <c r="D149" s="74">
        <v>0</v>
      </c>
      <c r="E149" s="75">
        <f>E147+D149</f>
        <v>-35.308000000000177</v>
      </c>
      <c r="F149" s="76"/>
      <c r="G149" s="76"/>
      <c r="H149" s="74"/>
      <c r="I149" s="76"/>
      <c r="J149" s="81"/>
      <c r="K149" s="70"/>
      <c r="L149" s="65"/>
      <c r="M149" s="65"/>
      <c r="N149" s="65"/>
    </row>
    <row r="150" spans="1:14">
      <c r="A150" s="73"/>
      <c r="B150" s="74"/>
      <c r="C150" s="74"/>
      <c r="D150" s="74"/>
      <c r="E150" s="79"/>
      <c r="F150" s="76">
        <v>10</v>
      </c>
      <c r="G150" s="76">
        <f>TRUNC(((B149+B151)/2)*20,3)</f>
        <v>18.268999999999998</v>
      </c>
      <c r="H150" s="74">
        <f>H148+G150</f>
        <v>544.43899999999996</v>
      </c>
      <c r="I150" s="76">
        <f>TRUNC(((D149+D151)/2)*20,3)</f>
        <v>-4.899</v>
      </c>
      <c r="J150" s="81">
        <f>J148+I150</f>
        <v>-711.03300000000024</v>
      </c>
      <c r="K150" s="70"/>
      <c r="L150" s="65"/>
      <c r="M150" s="65"/>
      <c r="N150" s="65"/>
    </row>
    <row r="151" spans="1:14">
      <c r="A151" s="73">
        <v>74</v>
      </c>
      <c r="B151" s="74">
        <v>0</v>
      </c>
      <c r="C151" s="74">
        <f>C149+B151</f>
        <v>27.222999999999672</v>
      </c>
      <c r="D151" s="74">
        <v>-0.48999999999995225</v>
      </c>
      <c r="E151" s="75">
        <f>E149+D151</f>
        <v>-35.79800000000013</v>
      </c>
      <c r="F151" s="76"/>
      <c r="G151" s="76"/>
      <c r="H151" s="74"/>
      <c r="I151" s="76"/>
      <c r="J151" s="81"/>
      <c r="K151" s="70"/>
      <c r="L151" s="65"/>
      <c r="M151" s="65"/>
      <c r="N151" s="65"/>
    </row>
    <row r="152" spans="1:14">
      <c r="A152" s="73"/>
      <c r="B152" s="74"/>
      <c r="C152" s="74"/>
      <c r="D152" s="74"/>
      <c r="E152" s="79"/>
      <c r="F152" s="76">
        <v>10</v>
      </c>
      <c r="G152" s="76">
        <f>TRUNC(((B151+B153)/2)*20,3)</f>
        <v>13.718999999999999</v>
      </c>
      <c r="H152" s="74">
        <f>H150+G152</f>
        <v>558.15800000000002</v>
      </c>
      <c r="I152" s="76">
        <f>TRUNC(((D151+D153)/2)*20,3)</f>
        <v>-4.899</v>
      </c>
      <c r="J152" s="81">
        <f>J150+I152</f>
        <v>-715.93200000000024</v>
      </c>
      <c r="K152" s="70"/>
      <c r="L152" s="65"/>
      <c r="M152" s="65"/>
      <c r="N152" s="65"/>
    </row>
    <row r="153" spans="1:14">
      <c r="A153" s="73">
        <v>75</v>
      </c>
      <c r="B153" s="74">
        <v>1.3719999999999857</v>
      </c>
      <c r="C153" s="74">
        <f>C151+B153</f>
        <v>28.594999999999658</v>
      </c>
      <c r="D153" s="74">
        <v>0</v>
      </c>
      <c r="E153" s="75">
        <f>E151+D153</f>
        <v>-35.79800000000013</v>
      </c>
      <c r="F153" s="76"/>
      <c r="G153" s="76"/>
      <c r="H153" s="74"/>
      <c r="I153" s="76"/>
      <c r="J153" s="81"/>
      <c r="K153" s="70"/>
      <c r="L153" s="65"/>
      <c r="M153" s="65"/>
      <c r="N153" s="65"/>
    </row>
    <row r="154" spans="1:14">
      <c r="A154" s="73"/>
      <c r="B154" s="74"/>
      <c r="C154" s="74"/>
      <c r="D154" s="74"/>
      <c r="E154" s="79"/>
      <c r="F154" s="76">
        <v>10</v>
      </c>
      <c r="G154" s="76">
        <f>TRUNC(((B153+B155)/2)*20,3)</f>
        <v>13.718999999999999</v>
      </c>
      <c r="H154" s="74">
        <f>H152+G154</f>
        <v>571.87700000000007</v>
      </c>
      <c r="I154" s="76">
        <f>TRUNC(((D153+D155)/2)*20,3)</f>
        <v>-4.34</v>
      </c>
      <c r="J154" s="81">
        <f>J152+I154</f>
        <v>-720.27200000000028</v>
      </c>
      <c r="K154" s="70"/>
      <c r="L154" s="65"/>
      <c r="M154" s="65"/>
      <c r="N154" s="65"/>
    </row>
    <row r="155" spans="1:14">
      <c r="A155" s="73">
        <v>76</v>
      </c>
      <c r="B155" s="74">
        <v>0</v>
      </c>
      <c r="C155" s="74">
        <f>C153+B155</f>
        <v>28.594999999999658</v>
      </c>
      <c r="D155" s="74">
        <v>-0.43400000000008276</v>
      </c>
      <c r="E155" s="75">
        <f>E153+D155</f>
        <v>-36.232000000000212</v>
      </c>
      <c r="F155" s="76"/>
      <c r="G155" s="76"/>
      <c r="H155" s="74"/>
      <c r="I155" s="76"/>
      <c r="J155" s="81"/>
      <c r="K155" s="70"/>
      <c r="L155" s="65"/>
      <c r="M155" s="65"/>
      <c r="N155" s="65"/>
    </row>
    <row r="156" spans="1:14">
      <c r="A156" s="73"/>
      <c r="B156" s="74"/>
      <c r="C156" s="74"/>
      <c r="D156" s="74"/>
      <c r="E156" s="79"/>
      <c r="F156" s="76">
        <v>10</v>
      </c>
      <c r="G156" s="76">
        <f>TRUNC(((B155+B157)/2)*20,3)</f>
        <v>0</v>
      </c>
      <c r="H156" s="74">
        <f>H154+G156</f>
        <v>571.87700000000007</v>
      </c>
      <c r="I156" s="76">
        <f>TRUNC(((D155+D157)/2)*20,3)</f>
        <v>-12.53</v>
      </c>
      <c r="J156" s="81">
        <f>J154+I156</f>
        <v>-732.80200000000025</v>
      </c>
      <c r="K156" s="70"/>
      <c r="L156" s="65"/>
      <c r="M156" s="65"/>
      <c r="N156" s="65"/>
    </row>
    <row r="157" spans="1:14">
      <c r="A157" s="73">
        <v>77</v>
      </c>
      <c r="B157" s="74">
        <v>0</v>
      </c>
      <c r="C157" s="74">
        <f>C155+B157</f>
        <v>28.594999999999658</v>
      </c>
      <c r="D157" s="74">
        <v>-0.81899999999993156</v>
      </c>
      <c r="E157" s="75">
        <f>E155+D157</f>
        <v>-37.051000000000144</v>
      </c>
      <c r="F157" s="76"/>
      <c r="G157" s="76"/>
      <c r="H157" s="74"/>
      <c r="I157" s="76"/>
      <c r="J157" s="81"/>
      <c r="K157" s="70"/>
      <c r="L157" s="65"/>
      <c r="M157" s="65"/>
      <c r="N157" s="65"/>
    </row>
    <row r="158" spans="1:14">
      <c r="A158" s="73"/>
      <c r="B158" s="74"/>
      <c r="C158" s="74"/>
      <c r="D158" s="74"/>
      <c r="E158" s="79"/>
      <c r="F158" s="76">
        <v>10</v>
      </c>
      <c r="G158" s="76">
        <f>TRUNC(((B157+B159)/2)*20,3)</f>
        <v>0</v>
      </c>
      <c r="H158" s="74">
        <f>H156+G158</f>
        <v>571.87700000000007</v>
      </c>
      <c r="I158" s="76">
        <f>TRUNC(((D157+D159)/2)*20,3)</f>
        <v>-17.359000000000002</v>
      </c>
      <c r="J158" s="81">
        <f>J156+I158</f>
        <v>-750.16100000000029</v>
      </c>
      <c r="K158" s="70"/>
      <c r="L158" s="65"/>
      <c r="M158" s="65"/>
      <c r="N158" s="65"/>
    </row>
    <row r="159" spans="1:14">
      <c r="A159" s="73">
        <v>78</v>
      </c>
      <c r="B159" s="74">
        <v>0</v>
      </c>
      <c r="C159" s="74">
        <f>C157+B159</f>
        <v>28.594999999999658</v>
      </c>
      <c r="D159" s="74">
        <v>-0.91700000000000159</v>
      </c>
      <c r="E159" s="75">
        <f>E157+D159</f>
        <v>-37.968000000000146</v>
      </c>
      <c r="F159" s="76"/>
      <c r="G159" s="76"/>
      <c r="H159" s="74"/>
      <c r="I159" s="76"/>
      <c r="J159" s="81"/>
      <c r="K159" s="70"/>
      <c r="L159" s="65"/>
      <c r="M159" s="65"/>
      <c r="N159" s="65"/>
    </row>
    <row r="160" spans="1:14">
      <c r="A160" s="73"/>
      <c r="B160" s="74"/>
      <c r="C160" s="74"/>
      <c r="D160" s="74"/>
      <c r="E160" s="79"/>
      <c r="F160" s="76">
        <v>10</v>
      </c>
      <c r="G160" s="76">
        <f>TRUNC(((B159+B161)/2)*20,3)</f>
        <v>4.2</v>
      </c>
      <c r="H160" s="74">
        <f>H158+G160</f>
        <v>576.07700000000011</v>
      </c>
      <c r="I160" s="76">
        <f>TRUNC(((D159+D161)/2)*20,3)</f>
        <v>-9.17</v>
      </c>
      <c r="J160" s="81">
        <f>J158+I160</f>
        <v>-759.33100000000024</v>
      </c>
      <c r="K160" s="70"/>
      <c r="L160" s="65"/>
      <c r="M160" s="65"/>
      <c r="N160" s="65"/>
    </row>
    <row r="161" spans="1:14">
      <c r="A161" s="73">
        <v>79</v>
      </c>
      <c r="B161" s="74">
        <v>0.42000000000001592</v>
      </c>
      <c r="C161" s="74">
        <f>C159+B161</f>
        <v>29.014999999999674</v>
      </c>
      <c r="D161" s="74">
        <v>0</v>
      </c>
      <c r="E161" s="75">
        <f>E159+D161</f>
        <v>-37.968000000000146</v>
      </c>
      <c r="F161" s="76"/>
      <c r="G161" s="76"/>
      <c r="H161" s="74"/>
      <c r="I161" s="76"/>
      <c r="J161" s="81"/>
      <c r="K161" s="70"/>
      <c r="L161" s="65"/>
      <c r="M161" s="65"/>
      <c r="N161" s="65"/>
    </row>
    <row r="162" spans="1:14">
      <c r="A162" s="73"/>
      <c r="B162" s="74"/>
      <c r="C162" s="74"/>
      <c r="D162" s="74"/>
      <c r="E162" s="79"/>
      <c r="F162" s="76">
        <v>10</v>
      </c>
      <c r="G162" s="76">
        <f>TRUNC(((B161+B163)/2)*20,3)</f>
        <v>7.84</v>
      </c>
      <c r="H162" s="74">
        <f>H160+G162</f>
        <v>583.91700000000014</v>
      </c>
      <c r="I162" s="76">
        <f>TRUNC(((D161+D163)/2)*20,3)</f>
        <v>0</v>
      </c>
      <c r="J162" s="81">
        <f>J160+I162</f>
        <v>-759.33100000000024</v>
      </c>
      <c r="K162" s="70"/>
      <c r="L162" s="65"/>
      <c r="M162" s="65"/>
      <c r="N162" s="65"/>
    </row>
    <row r="163" spans="1:14">
      <c r="A163" s="73">
        <v>80</v>
      </c>
      <c r="B163" s="74">
        <v>0.36400000000004695</v>
      </c>
      <c r="C163" s="74">
        <f>C161+B163</f>
        <v>29.378999999999721</v>
      </c>
      <c r="D163" s="74">
        <v>0</v>
      </c>
      <c r="E163" s="75">
        <f>E161+D163</f>
        <v>-37.968000000000146</v>
      </c>
      <c r="F163" s="76"/>
      <c r="G163" s="76"/>
      <c r="H163" s="74"/>
      <c r="I163" s="76"/>
      <c r="J163" s="81"/>
      <c r="K163" s="70"/>
      <c r="L163" s="65"/>
      <c r="M163" s="65"/>
      <c r="N163" s="65"/>
    </row>
    <row r="164" spans="1:14">
      <c r="A164" s="73"/>
      <c r="B164" s="74"/>
      <c r="C164" s="74"/>
      <c r="D164" s="74"/>
      <c r="E164" s="79"/>
      <c r="F164" s="76">
        <v>10</v>
      </c>
      <c r="G164" s="76">
        <f>TRUNC(((B163+B165)/2)*20,3)</f>
        <v>3.64</v>
      </c>
      <c r="H164" s="74">
        <f>H162+G164</f>
        <v>587.55700000000013</v>
      </c>
      <c r="I164" s="76">
        <f>TRUNC(((D163+D165)/2)*20,3)</f>
        <v>-19.039000000000001</v>
      </c>
      <c r="J164" s="81">
        <f>J162+I164</f>
        <v>-778.37000000000023</v>
      </c>
      <c r="K164" s="70"/>
      <c r="L164" s="65"/>
      <c r="M164" s="65"/>
      <c r="N164" s="65"/>
    </row>
    <row r="165" spans="1:14">
      <c r="A165" s="73">
        <v>81</v>
      </c>
      <c r="B165" s="74">
        <v>0</v>
      </c>
      <c r="C165" s="74">
        <f>C163+B165</f>
        <v>29.378999999999721</v>
      </c>
      <c r="D165" s="74">
        <v>-1.9039999999999395</v>
      </c>
      <c r="E165" s="75">
        <f>E163+D165</f>
        <v>-39.872000000000085</v>
      </c>
      <c r="F165" s="76"/>
      <c r="G165" s="76"/>
      <c r="H165" s="74"/>
      <c r="I165" s="76"/>
      <c r="J165" s="81"/>
      <c r="K165" s="70"/>
      <c r="L165" s="65"/>
      <c r="M165" s="65"/>
      <c r="N165" s="65"/>
    </row>
    <row r="166" spans="1:14">
      <c r="A166" s="73"/>
      <c r="B166" s="74"/>
      <c r="C166" s="74"/>
      <c r="D166" s="74"/>
      <c r="E166" s="79"/>
      <c r="F166" s="76">
        <v>10</v>
      </c>
      <c r="G166" s="76">
        <f>TRUNC(((B165+B167)/2)*20,3)</f>
        <v>0</v>
      </c>
      <c r="H166" s="74">
        <f>H164+G166</f>
        <v>587.55700000000013</v>
      </c>
      <c r="I166" s="76">
        <f>TRUNC(((D165+D167)/2)*20,3)</f>
        <v>-35.978999999999999</v>
      </c>
      <c r="J166" s="81">
        <f>J164+I166</f>
        <v>-814.34900000000027</v>
      </c>
      <c r="K166" s="70"/>
      <c r="L166" s="65"/>
      <c r="M166" s="65"/>
      <c r="N166" s="65"/>
    </row>
    <row r="167" spans="1:14">
      <c r="A167" s="73">
        <v>82</v>
      </c>
      <c r="B167" s="74">
        <v>0</v>
      </c>
      <c r="C167" s="74">
        <f>C165+B167</f>
        <v>29.378999999999721</v>
      </c>
      <c r="D167" s="74">
        <v>-1.694000000000031</v>
      </c>
      <c r="E167" s="75">
        <f>E165+D167</f>
        <v>-41.566000000000116</v>
      </c>
      <c r="F167" s="76"/>
      <c r="G167" s="76"/>
      <c r="H167" s="74"/>
      <c r="I167" s="76"/>
      <c r="J167" s="81"/>
      <c r="K167" s="70"/>
      <c r="L167" s="65"/>
      <c r="M167" s="65"/>
      <c r="N167" s="65"/>
    </row>
    <row r="168" spans="1:14" ht="15.75">
      <c r="A168" s="73"/>
      <c r="B168" s="74"/>
      <c r="C168" s="74"/>
      <c r="D168" s="74"/>
      <c r="E168" s="79"/>
      <c r="F168" s="76">
        <v>10</v>
      </c>
      <c r="G168" s="76">
        <f>TRUNC(((B167+B169)/2)*20,3)</f>
        <v>0.97899999999999998</v>
      </c>
      <c r="H168" s="91">
        <f>H166+G168</f>
        <v>588.53600000000017</v>
      </c>
      <c r="I168" s="76">
        <f>TRUNC(((D167+D169)/2)*20,3)</f>
        <v>-16.940000000000001</v>
      </c>
      <c r="J168" s="92">
        <f>J166+I168</f>
        <v>-831.28900000000033</v>
      </c>
      <c r="K168" s="70"/>
      <c r="L168" s="65"/>
      <c r="M168" s="65"/>
      <c r="N168" s="65"/>
    </row>
    <row r="169" spans="1:14">
      <c r="A169" s="73" t="s">
        <v>74</v>
      </c>
      <c r="B169" s="74">
        <v>9.7999999999970555E-2</v>
      </c>
      <c r="C169" s="74">
        <f>C167+B169</f>
        <v>29.476999999999691</v>
      </c>
      <c r="D169" s="74">
        <v>0</v>
      </c>
      <c r="E169" s="75">
        <f>E167+D169</f>
        <v>-41.566000000000116</v>
      </c>
      <c r="F169" s="76"/>
      <c r="G169" s="76"/>
      <c r="H169" s="74"/>
      <c r="I169" s="77"/>
      <c r="J169" s="78"/>
      <c r="K169" s="70"/>
      <c r="L169" s="65"/>
      <c r="M169" s="65"/>
      <c r="N169" s="65"/>
    </row>
    <row r="170" spans="1:14">
      <c r="F170" s="69"/>
      <c r="G170" s="69"/>
      <c r="H170" s="64"/>
      <c r="I170" s="70"/>
      <c r="J170" s="70"/>
      <c r="K170" s="70"/>
      <c r="L170" s="65"/>
      <c r="M170" s="65"/>
      <c r="N170" s="65"/>
    </row>
    <row r="171" spans="1:14">
      <c r="F171" s="69"/>
      <c r="G171" s="69"/>
      <c r="H171" s="70"/>
      <c r="I171" s="70"/>
      <c r="J171" s="70"/>
      <c r="K171" s="70"/>
      <c r="L171" s="65"/>
      <c r="M171" s="65"/>
      <c r="N171" s="65"/>
    </row>
    <row r="172" spans="1:14">
      <c r="D172" s="94" t="s">
        <v>89</v>
      </c>
      <c r="E172" s="94"/>
      <c r="F172" s="95">
        <f>H168</f>
        <v>588.53600000000017</v>
      </c>
      <c r="G172" s="93"/>
      <c r="H172" s="70"/>
      <c r="I172" s="70"/>
      <c r="J172" s="70"/>
      <c r="K172" s="70"/>
      <c r="L172" s="65"/>
      <c r="M172" s="65"/>
      <c r="N172" s="65"/>
    </row>
    <row r="173" spans="1:14">
      <c r="D173" s="94" t="s">
        <v>90</v>
      </c>
      <c r="E173" s="94"/>
      <c r="F173" s="95">
        <f>J168</f>
        <v>-831.28900000000033</v>
      </c>
      <c r="G173" s="93"/>
      <c r="H173" s="70"/>
      <c r="I173" s="70"/>
      <c r="J173" s="70"/>
      <c r="K173" s="70"/>
      <c r="L173" s="65"/>
      <c r="M173" s="65"/>
      <c r="N173" s="65"/>
    </row>
    <row r="174" spans="1:14">
      <c r="F174" s="69"/>
      <c r="G174" s="69"/>
      <c r="H174" s="70"/>
      <c r="I174" s="70"/>
      <c r="J174" s="70"/>
      <c r="K174" s="70"/>
      <c r="L174" s="65"/>
      <c r="M174" s="65"/>
      <c r="N174" s="65"/>
    </row>
    <row r="175" spans="1:14">
      <c r="F175" s="69"/>
      <c r="G175" s="69"/>
      <c r="H175" s="70"/>
      <c r="I175" s="70"/>
      <c r="J175" s="70"/>
      <c r="K175" s="70"/>
      <c r="L175" s="65"/>
      <c r="M175" s="65"/>
      <c r="N175" s="65"/>
    </row>
    <row r="176" spans="1:14">
      <c r="F176" s="69"/>
      <c r="G176" s="69"/>
      <c r="H176" s="70"/>
      <c r="I176" s="70"/>
      <c r="J176" s="70"/>
      <c r="K176" s="70"/>
      <c r="L176" s="65"/>
      <c r="M176" s="65"/>
      <c r="N176" s="65"/>
    </row>
    <row r="177" spans="6:14">
      <c r="F177" s="69"/>
      <c r="G177" s="69"/>
      <c r="H177" s="70"/>
      <c r="I177" s="70"/>
      <c r="J177" s="70"/>
      <c r="K177" s="70"/>
      <c r="L177" s="65"/>
      <c r="M177" s="65"/>
      <c r="N177" s="65"/>
    </row>
    <row r="178" spans="6:14">
      <c r="F178" s="69"/>
      <c r="G178" s="69"/>
      <c r="H178" s="70"/>
      <c r="I178" s="70"/>
      <c r="J178" s="70"/>
      <c r="K178" s="70"/>
      <c r="L178" s="65"/>
      <c r="M178" s="65"/>
      <c r="N178" s="65"/>
    </row>
    <row r="179" spans="6:14">
      <c r="F179" s="69"/>
      <c r="G179" s="69"/>
      <c r="H179" s="70"/>
      <c r="I179" s="70"/>
      <c r="J179" s="70"/>
      <c r="K179" s="70"/>
      <c r="L179" s="65"/>
      <c r="M179" s="65"/>
      <c r="N179" s="65"/>
    </row>
    <row r="180" spans="6:14">
      <c r="F180" s="69"/>
      <c r="G180" s="69"/>
      <c r="H180" s="70"/>
      <c r="I180" s="70"/>
      <c r="J180" s="70"/>
      <c r="K180" s="70"/>
      <c r="L180" s="65"/>
      <c r="M180" s="65"/>
      <c r="N180" s="65"/>
    </row>
    <row r="181" spans="6:14">
      <c r="F181" s="69"/>
      <c r="G181" s="69"/>
      <c r="H181" s="70"/>
      <c r="I181" s="70"/>
      <c r="J181" s="70"/>
      <c r="K181" s="70"/>
      <c r="L181" s="65"/>
      <c r="M181" s="65"/>
      <c r="N181" s="65"/>
    </row>
    <row r="182" spans="6:14">
      <c r="F182" s="69"/>
      <c r="G182" s="69"/>
      <c r="H182" s="70"/>
      <c r="I182" s="70"/>
      <c r="J182" s="70"/>
      <c r="K182" s="70"/>
      <c r="L182" s="65"/>
      <c r="M182" s="65"/>
      <c r="N182" s="65"/>
    </row>
    <row r="183" spans="6:14">
      <c r="F183" s="69"/>
      <c r="G183" s="69"/>
      <c r="H183" s="70"/>
      <c r="I183" s="70"/>
      <c r="J183" s="70"/>
      <c r="K183" s="70"/>
      <c r="L183" s="65"/>
      <c r="M183" s="65"/>
      <c r="N183" s="65"/>
    </row>
    <row r="184" spans="6:14">
      <c r="F184" s="69"/>
      <c r="G184" s="69"/>
      <c r="H184" s="70"/>
      <c r="I184" s="70"/>
      <c r="J184" s="70"/>
      <c r="K184" s="70"/>
      <c r="L184" s="65"/>
      <c r="M184" s="65"/>
      <c r="N184" s="65"/>
    </row>
    <row r="185" spans="6:14">
      <c r="F185" s="69"/>
      <c r="G185" s="69"/>
      <c r="H185" s="70"/>
      <c r="I185" s="70"/>
      <c r="J185" s="70"/>
      <c r="K185" s="70"/>
      <c r="L185" s="65"/>
      <c r="M185" s="65"/>
      <c r="N185" s="65"/>
    </row>
    <row r="186" spans="6:14">
      <c r="F186" s="69"/>
      <c r="G186" s="69"/>
      <c r="H186" s="70"/>
      <c r="I186" s="70"/>
      <c r="J186" s="70"/>
      <c r="K186" s="70"/>
      <c r="L186" s="65"/>
      <c r="M186" s="65"/>
      <c r="N186" s="65"/>
    </row>
    <row r="187" spans="6:14">
      <c r="F187" s="69"/>
      <c r="G187" s="69"/>
      <c r="H187" s="70"/>
      <c r="I187" s="70"/>
      <c r="J187" s="70"/>
      <c r="K187" s="70"/>
      <c r="L187" s="65"/>
      <c r="M187" s="65"/>
      <c r="N187" s="65"/>
    </row>
    <row r="188" spans="6:14">
      <c r="F188" s="69"/>
      <c r="G188" s="69"/>
      <c r="H188" s="70"/>
      <c r="I188" s="70"/>
      <c r="J188" s="70"/>
      <c r="K188" s="70"/>
      <c r="L188" s="65"/>
      <c r="M188" s="65"/>
      <c r="N188" s="65"/>
    </row>
    <row r="189" spans="6:14">
      <c r="F189" s="69"/>
      <c r="G189" s="69"/>
      <c r="H189" s="70"/>
      <c r="I189" s="70"/>
      <c r="J189" s="70"/>
      <c r="K189" s="70"/>
      <c r="L189" s="65"/>
      <c r="M189" s="65"/>
      <c r="N189" s="65"/>
    </row>
    <row r="190" spans="6:14">
      <c r="F190" s="69"/>
      <c r="G190" s="69"/>
      <c r="H190" s="70"/>
      <c r="I190" s="70"/>
      <c r="J190" s="70"/>
      <c r="K190" s="70"/>
      <c r="L190" s="65"/>
      <c r="M190" s="65"/>
      <c r="N190" s="65"/>
    </row>
    <row r="191" spans="6:14">
      <c r="F191" s="69"/>
      <c r="G191" s="69"/>
      <c r="H191" s="70"/>
      <c r="I191" s="70"/>
      <c r="J191" s="70"/>
      <c r="K191" s="70"/>
      <c r="L191" s="65"/>
      <c r="M191" s="65"/>
      <c r="N191" s="65"/>
    </row>
    <row r="192" spans="6:14">
      <c r="F192" s="69"/>
      <c r="G192" s="69"/>
      <c r="H192" s="70"/>
      <c r="I192" s="70"/>
      <c r="J192" s="70"/>
      <c r="K192" s="70"/>
      <c r="L192" s="65"/>
      <c r="M192" s="65"/>
      <c r="N192" s="65"/>
    </row>
    <row r="193" spans="6:14">
      <c r="F193" s="69"/>
      <c r="G193" s="69"/>
      <c r="H193" s="70"/>
      <c r="I193" s="70"/>
      <c r="J193" s="70"/>
      <c r="K193" s="70"/>
      <c r="L193" s="65"/>
      <c r="M193" s="65"/>
      <c r="N193" s="65"/>
    </row>
    <row r="194" spans="6:14">
      <c r="F194" s="69"/>
      <c r="G194" s="69"/>
      <c r="H194" s="70"/>
      <c r="I194" s="70"/>
      <c r="J194" s="70"/>
      <c r="K194" s="70"/>
      <c r="L194" s="65"/>
      <c r="M194" s="65"/>
      <c r="N194" s="65"/>
    </row>
    <row r="195" spans="6:14">
      <c r="F195" s="69"/>
      <c r="G195" s="69"/>
      <c r="H195" s="70"/>
      <c r="I195" s="70"/>
      <c r="J195" s="70"/>
      <c r="K195" s="70"/>
      <c r="L195" s="65"/>
      <c r="M195" s="65"/>
      <c r="N195" s="65"/>
    </row>
    <row r="196" spans="6:14">
      <c r="F196" s="69"/>
      <c r="G196" s="69"/>
      <c r="H196" s="70"/>
      <c r="I196" s="70"/>
      <c r="J196" s="70"/>
      <c r="K196" s="70"/>
      <c r="L196" s="65"/>
      <c r="M196" s="65"/>
      <c r="N196" s="65"/>
    </row>
    <row r="197" spans="6:14">
      <c r="F197" s="69"/>
      <c r="G197" s="69"/>
      <c r="H197" s="70"/>
      <c r="I197" s="70"/>
      <c r="J197" s="70"/>
      <c r="K197" s="70"/>
      <c r="L197" s="65"/>
      <c r="M197" s="65"/>
      <c r="N197" s="65"/>
    </row>
    <row r="198" spans="6:14">
      <c r="F198" s="69"/>
      <c r="G198" s="69"/>
      <c r="H198" s="70"/>
      <c r="I198" s="70"/>
      <c r="J198" s="70"/>
      <c r="K198" s="70"/>
      <c r="L198" s="65"/>
      <c r="M198" s="65"/>
      <c r="N198" s="65"/>
    </row>
    <row r="199" spans="6:14">
      <c r="F199" s="69"/>
      <c r="G199" s="69"/>
      <c r="H199" s="70"/>
      <c r="I199" s="70"/>
      <c r="J199" s="70"/>
      <c r="K199" s="70"/>
      <c r="L199" s="65"/>
      <c r="M199" s="65"/>
      <c r="N199" s="65"/>
    </row>
    <row r="200" spans="6:14">
      <c r="F200" s="69"/>
      <c r="G200" s="69"/>
      <c r="H200" s="70"/>
      <c r="I200" s="70"/>
      <c r="J200" s="70"/>
      <c r="K200" s="70"/>
      <c r="L200" s="65"/>
      <c r="M200" s="65"/>
      <c r="N200" s="65"/>
    </row>
    <row r="201" spans="6:14">
      <c r="F201" s="69"/>
      <c r="G201" s="69"/>
      <c r="H201" s="70"/>
      <c r="I201" s="70"/>
      <c r="J201" s="70"/>
      <c r="K201" s="70"/>
      <c r="L201" s="65"/>
      <c r="M201" s="65"/>
      <c r="N201" s="65"/>
    </row>
    <row r="202" spans="6:14">
      <c r="F202" s="69"/>
      <c r="G202" s="69"/>
      <c r="H202" s="70"/>
      <c r="I202" s="70"/>
      <c r="J202" s="70"/>
      <c r="K202" s="70"/>
      <c r="L202" s="65"/>
      <c r="M202" s="65"/>
      <c r="N202" s="65"/>
    </row>
    <row r="203" spans="6:14">
      <c r="F203" s="69"/>
      <c r="G203" s="69"/>
      <c r="H203" s="70"/>
      <c r="I203" s="70"/>
      <c r="J203" s="70"/>
      <c r="K203" s="70"/>
      <c r="L203" s="65"/>
      <c r="M203" s="65"/>
      <c r="N203" s="65"/>
    </row>
    <row r="204" spans="6:14">
      <c r="F204" s="69"/>
      <c r="G204" s="69"/>
      <c r="H204" s="70"/>
      <c r="I204" s="70"/>
      <c r="J204" s="70"/>
      <c r="K204" s="70"/>
      <c r="L204" s="65"/>
      <c r="M204" s="65"/>
      <c r="N204" s="65"/>
    </row>
    <row r="205" spans="6:14">
      <c r="F205" s="69"/>
      <c r="G205" s="69"/>
      <c r="H205" s="70"/>
      <c r="I205" s="70"/>
      <c r="J205" s="70"/>
      <c r="K205" s="70"/>
      <c r="L205" s="65"/>
      <c r="M205" s="65"/>
      <c r="N205" s="65"/>
    </row>
    <row r="206" spans="6:14">
      <c r="F206" s="69"/>
      <c r="G206" s="69"/>
      <c r="H206" s="70"/>
      <c r="I206" s="70"/>
      <c r="J206" s="70"/>
      <c r="K206" s="70"/>
      <c r="L206" s="65"/>
      <c r="M206" s="65"/>
      <c r="N206" s="65"/>
    </row>
    <row r="207" spans="6:14">
      <c r="F207" s="69"/>
      <c r="G207" s="69"/>
      <c r="H207" s="70"/>
      <c r="I207" s="70"/>
      <c r="J207" s="70"/>
      <c r="K207" s="70"/>
      <c r="L207" s="65"/>
      <c r="M207" s="65"/>
      <c r="N207" s="65"/>
    </row>
    <row r="208" spans="6:14">
      <c r="F208" s="69"/>
      <c r="G208" s="69"/>
      <c r="H208" s="70"/>
      <c r="I208" s="70"/>
      <c r="J208" s="70"/>
      <c r="K208" s="70"/>
      <c r="L208" s="65"/>
      <c r="M208" s="65"/>
      <c r="N208" s="65"/>
    </row>
    <row r="209" spans="6:14">
      <c r="F209" s="69"/>
      <c r="G209" s="69"/>
      <c r="H209" s="70"/>
      <c r="I209" s="70"/>
      <c r="J209" s="70"/>
      <c r="K209" s="70"/>
      <c r="L209" s="65"/>
      <c r="M209" s="65"/>
      <c r="N209" s="65"/>
    </row>
    <row r="210" spans="6:14">
      <c r="F210" s="69"/>
      <c r="G210" s="69"/>
      <c r="H210" s="70"/>
      <c r="I210" s="70"/>
      <c r="J210" s="70"/>
      <c r="K210" s="70"/>
      <c r="L210" s="65"/>
      <c r="M210" s="65"/>
      <c r="N210" s="65"/>
    </row>
    <row r="211" spans="6:14">
      <c r="F211" s="69"/>
      <c r="G211" s="69"/>
      <c r="H211" s="70"/>
      <c r="I211" s="70"/>
      <c r="J211" s="70"/>
      <c r="K211" s="70"/>
      <c r="L211" s="65"/>
      <c r="M211" s="65"/>
      <c r="N211" s="65"/>
    </row>
    <row r="212" spans="6:14">
      <c r="F212" s="69"/>
      <c r="G212" s="69"/>
      <c r="H212" s="70"/>
      <c r="I212" s="70"/>
      <c r="J212" s="70"/>
      <c r="K212" s="70"/>
      <c r="L212" s="65"/>
      <c r="M212" s="65"/>
      <c r="N212" s="65"/>
    </row>
    <row r="213" spans="6:14">
      <c r="F213" s="69"/>
      <c r="G213" s="69"/>
      <c r="H213" s="70"/>
      <c r="I213" s="70"/>
      <c r="J213" s="70"/>
      <c r="K213" s="70"/>
      <c r="L213" s="65"/>
      <c r="M213" s="65"/>
      <c r="N213" s="65"/>
    </row>
    <row r="214" spans="6:14">
      <c r="F214" s="69"/>
      <c r="G214" s="69"/>
      <c r="H214" s="70"/>
      <c r="I214" s="70"/>
      <c r="J214" s="70"/>
      <c r="K214" s="70"/>
      <c r="L214" s="65"/>
      <c r="M214" s="65"/>
      <c r="N214" s="65"/>
    </row>
    <row r="215" spans="6:14">
      <c r="F215" s="69"/>
      <c r="G215" s="69"/>
      <c r="H215" s="70"/>
      <c r="I215" s="70"/>
      <c r="J215" s="70"/>
      <c r="K215" s="70"/>
      <c r="L215" s="65"/>
      <c r="M215" s="65"/>
      <c r="N215" s="65"/>
    </row>
    <row r="216" spans="6:14">
      <c r="F216" s="69"/>
      <c r="G216" s="69"/>
      <c r="H216" s="70"/>
      <c r="I216" s="70"/>
      <c r="J216" s="70"/>
      <c r="K216" s="70"/>
      <c r="L216" s="65"/>
      <c r="M216" s="65"/>
      <c r="N216" s="65"/>
    </row>
    <row r="217" spans="6:14">
      <c r="F217" s="69"/>
      <c r="G217" s="69"/>
      <c r="H217" s="70"/>
      <c r="I217" s="70"/>
      <c r="J217" s="70"/>
      <c r="K217" s="70"/>
      <c r="L217" s="65"/>
      <c r="M217" s="65"/>
      <c r="N217" s="65"/>
    </row>
    <row r="218" spans="6:14">
      <c r="F218" s="69"/>
      <c r="G218" s="69"/>
      <c r="H218" s="70"/>
      <c r="I218" s="70"/>
      <c r="J218" s="70"/>
      <c r="K218" s="70"/>
      <c r="L218" s="65"/>
      <c r="M218" s="65"/>
      <c r="N218" s="65"/>
    </row>
    <row r="219" spans="6:14">
      <c r="F219" s="69"/>
      <c r="G219" s="69"/>
      <c r="H219" s="70"/>
      <c r="I219" s="70"/>
      <c r="J219" s="70"/>
      <c r="K219" s="70"/>
      <c r="L219" s="65"/>
      <c r="M219" s="65"/>
      <c r="N219" s="65"/>
    </row>
    <row r="220" spans="6:14">
      <c r="F220" s="69"/>
      <c r="G220" s="69"/>
      <c r="H220" s="70"/>
      <c r="I220" s="70"/>
      <c r="J220" s="70"/>
      <c r="K220" s="70"/>
      <c r="L220" s="65"/>
      <c r="M220" s="65"/>
      <c r="N220" s="65"/>
    </row>
    <row r="221" spans="6:14">
      <c r="F221" s="69"/>
      <c r="G221" s="69"/>
      <c r="H221" s="70"/>
      <c r="I221" s="70"/>
      <c r="J221" s="70"/>
      <c r="K221" s="70"/>
      <c r="L221" s="65"/>
      <c r="M221" s="65"/>
      <c r="N221" s="65"/>
    </row>
    <row r="222" spans="6:14">
      <c r="F222" s="69"/>
      <c r="G222" s="69"/>
      <c r="H222" s="70"/>
      <c r="I222" s="70"/>
      <c r="J222" s="70"/>
      <c r="K222" s="70"/>
      <c r="L222" s="65"/>
      <c r="M222" s="65"/>
      <c r="N222" s="65"/>
    </row>
    <row r="223" spans="6:14">
      <c r="F223" s="69"/>
      <c r="G223" s="69"/>
      <c r="H223" s="70"/>
      <c r="I223" s="70"/>
      <c r="J223" s="70"/>
      <c r="K223" s="70"/>
      <c r="L223" s="65"/>
      <c r="M223" s="65"/>
      <c r="N223" s="65"/>
    </row>
    <row r="224" spans="6:14">
      <c r="F224" s="69"/>
      <c r="G224" s="69"/>
      <c r="H224" s="70"/>
      <c r="I224" s="70"/>
      <c r="J224" s="70"/>
      <c r="K224" s="70"/>
      <c r="L224" s="65"/>
      <c r="M224" s="65"/>
      <c r="N224" s="65"/>
    </row>
    <row r="225" spans="6:14">
      <c r="F225" s="69"/>
      <c r="G225" s="69"/>
      <c r="H225" s="70"/>
      <c r="I225" s="70"/>
      <c r="J225" s="70"/>
      <c r="K225" s="70"/>
      <c r="L225" s="65"/>
      <c r="M225" s="65"/>
      <c r="N225" s="65"/>
    </row>
    <row r="226" spans="6:14">
      <c r="F226" s="69"/>
      <c r="G226" s="69"/>
      <c r="H226" s="70"/>
      <c r="I226" s="70"/>
      <c r="J226" s="70"/>
      <c r="K226" s="70"/>
      <c r="L226" s="65"/>
      <c r="M226" s="65"/>
      <c r="N226" s="65"/>
    </row>
    <row r="227" spans="6:14">
      <c r="F227" s="69"/>
      <c r="G227" s="69"/>
      <c r="H227" s="70"/>
      <c r="I227" s="70"/>
      <c r="J227" s="70"/>
      <c r="K227" s="70"/>
      <c r="L227" s="65"/>
      <c r="M227" s="65"/>
      <c r="N227" s="65"/>
    </row>
    <row r="228" spans="6:14">
      <c r="F228" s="69"/>
      <c r="G228" s="69"/>
      <c r="H228" s="70"/>
      <c r="I228" s="70"/>
      <c r="J228" s="70"/>
      <c r="K228" s="70"/>
      <c r="L228" s="65"/>
      <c r="M228" s="65"/>
      <c r="N228" s="65"/>
    </row>
    <row r="229" spans="6:14">
      <c r="F229" s="69"/>
      <c r="G229" s="69"/>
      <c r="H229" s="70"/>
      <c r="I229" s="70"/>
      <c r="J229" s="70"/>
      <c r="K229" s="70"/>
      <c r="L229" s="65"/>
      <c r="M229" s="65"/>
      <c r="N229" s="65"/>
    </row>
    <row r="230" spans="6:14">
      <c r="F230" s="69"/>
      <c r="G230" s="69"/>
      <c r="H230" s="70"/>
      <c r="I230" s="70"/>
      <c r="J230" s="70"/>
      <c r="K230" s="70"/>
      <c r="L230" s="65"/>
      <c r="M230" s="65"/>
      <c r="N230" s="65"/>
    </row>
    <row r="231" spans="6:14">
      <c r="F231" s="69"/>
      <c r="G231" s="69"/>
      <c r="H231" s="70"/>
      <c r="I231" s="70"/>
      <c r="J231" s="70"/>
      <c r="K231" s="70"/>
      <c r="L231" s="65"/>
      <c r="M231" s="65"/>
      <c r="N231" s="65"/>
    </row>
    <row r="232" spans="6:14">
      <c r="F232" s="69"/>
      <c r="G232" s="69"/>
      <c r="H232" s="70"/>
      <c r="I232" s="70"/>
      <c r="J232" s="70"/>
      <c r="K232" s="70"/>
      <c r="L232" s="65"/>
      <c r="M232" s="65"/>
      <c r="N232" s="65"/>
    </row>
    <row r="233" spans="6:14">
      <c r="F233" s="69"/>
      <c r="G233" s="69"/>
      <c r="H233" s="70"/>
      <c r="I233" s="70"/>
      <c r="J233" s="70"/>
      <c r="K233" s="70"/>
      <c r="L233" s="65"/>
      <c r="M233" s="65"/>
      <c r="N233" s="65"/>
    </row>
    <row r="234" spans="6:14">
      <c r="F234" s="69"/>
      <c r="G234" s="69"/>
      <c r="H234" s="70"/>
      <c r="I234" s="70"/>
      <c r="J234" s="70"/>
      <c r="K234" s="70"/>
      <c r="L234" s="65"/>
      <c r="M234" s="65"/>
      <c r="N234" s="65"/>
    </row>
    <row r="235" spans="6:14">
      <c r="F235" s="69"/>
      <c r="G235" s="69"/>
      <c r="H235" s="70"/>
      <c r="I235" s="70"/>
      <c r="J235" s="70"/>
      <c r="K235" s="70"/>
      <c r="L235" s="65"/>
      <c r="M235" s="65"/>
      <c r="N235" s="65"/>
    </row>
    <row r="236" spans="6:14">
      <c r="F236" s="69"/>
      <c r="G236" s="69"/>
      <c r="H236" s="70"/>
      <c r="I236" s="70"/>
      <c r="J236" s="70"/>
      <c r="K236" s="70"/>
      <c r="L236" s="65"/>
      <c r="M236" s="65"/>
      <c r="N236" s="65"/>
    </row>
    <row r="237" spans="6:14">
      <c r="F237" s="69"/>
      <c r="G237" s="69"/>
      <c r="H237" s="70"/>
      <c r="I237" s="70"/>
      <c r="J237" s="70"/>
      <c r="K237" s="70"/>
      <c r="L237" s="65"/>
      <c r="M237" s="65"/>
      <c r="N237" s="65"/>
    </row>
    <row r="238" spans="6:14">
      <c r="F238" s="69"/>
      <c r="G238" s="69"/>
      <c r="H238" s="70"/>
      <c r="I238" s="70"/>
      <c r="J238" s="70"/>
      <c r="K238" s="70"/>
      <c r="L238" s="65"/>
      <c r="M238" s="65"/>
      <c r="N238" s="65"/>
    </row>
    <row r="239" spans="6:14">
      <c r="F239" s="69"/>
      <c r="G239" s="69"/>
      <c r="H239" s="70"/>
      <c r="I239" s="70"/>
      <c r="J239" s="70"/>
      <c r="K239" s="70"/>
      <c r="L239" s="65"/>
      <c r="M239" s="65"/>
      <c r="N239" s="65"/>
    </row>
    <row r="240" spans="6:14">
      <c r="F240" s="69"/>
      <c r="G240" s="69"/>
      <c r="H240" s="70"/>
      <c r="I240" s="70"/>
      <c r="J240" s="70"/>
      <c r="K240" s="70"/>
      <c r="L240" s="65"/>
      <c r="M240" s="65"/>
      <c r="N240" s="65"/>
    </row>
    <row r="241" spans="6:14">
      <c r="F241" s="69"/>
      <c r="G241" s="69"/>
      <c r="H241" s="70"/>
      <c r="I241" s="70"/>
      <c r="J241" s="70"/>
      <c r="K241" s="70"/>
      <c r="L241" s="65"/>
      <c r="M241" s="65"/>
      <c r="N241" s="65"/>
    </row>
    <row r="242" spans="6:14">
      <c r="F242" s="69"/>
      <c r="G242" s="69"/>
      <c r="H242" s="70"/>
      <c r="I242" s="70"/>
      <c r="J242" s="70"/>
      <c r="K242" s="70"/>
      <c r="L242" s="65"/>
      <c r="M242" s="65"/>
      <c r="N242" s="65"/>
    </row>
    <row r="243" spans="6:14">
      <c r="F243" s="69"/>
      <c r="G243" s="69"/>
      <c r="H243" s="70"/>
      <c r="I243" s="70"/>
      <c r="J243" s="70"/>
      <c r="K243" s="70"/>
      <c r="L243" s="65"/>
      <c r="M243" s="65"/>
      <c r="N243" s="65"/>
    </row>
    <row r="244" spans="6:14">
      <c r="F244" s="69"/>
      <c r="G244" s="69"/>
      <c r="H244" s="70"/>
      <c r="I244" s="70"/>
      <c r="J244" s="70"/>
      <c r="K244" s="70"/>
      <c r="L244" s="65"/>
      <c r="M244" s="65"/>
      <c r="N244" s="65"/>
    </row>
    <row r="245" spans="6:14">
      <c r="F245" s="69"/>
      <c r="G245" s="69"/>
      <c r="H245" s="70"/>
      <c r="I245" s="70"/>
      <c r="J245" s="70"/>
      <c r="K245" s="70"/>
      <c r="L245" s="65"/>
      <c r="M245" s="65"/>
      <c r="N245" s="65"/>
    </row>
    <row r="246" spans="6:14">
      <c r="F246" s="69"/>
      <c r="G246" s="69"/>
      <c r="H246" s="70"/>
      <c r="I246" s="70"/>
      <c r="J246" s="70"/>
      <c r="K246" s="70"/>
      <c r="L246" s="65"/>
      <c r="M246" s="65"/>
      <c r="N246" s="65"/>
    </row>
    <row r="247" spans="6:14">
      <c r="F247" s="69"/>
      <c r="G247" s="69"/>
      <c r="H247" s="70"/>
      <c r="I247" s="70"/>
      <c r="J247" s="70"/>
      <c r="K247" s="70"/>
      <c r="L247" s="65"/>
      <c r="M247" s="65"/>
      <c r="N247" s="65"/>
    </row>
    <row r="248" spans="6:14">
      <c r="F248" s="69"/>
      <c r="G248" s="69"/>
      <c r="H248" s="70"/>
      <c r="I248" s="70"/>
      <c r="J248" s="70"/>
      <c r="K248" s="70"/>
      <c r="L248" s="65"/>
      <c r="M248" s="65"/>
      <c r="N248" s="65"/>
    </row>
    <row r="249" spans="6:14">
      <c r="F249" s="69"/>
      <c r="G249" s="69"/>
      <c r="H249" s="70"/>
      <c r="I249" s="70"/>
      <c r="J249" s="70"/>
      <c r="K249" s="70"/>
      <c r="L249" s="65"/>
      <c r="M249" s="65"/>
      <c r="N249" s="65"/>
    </row>
    <row r="250" spans="6:14">
      <c r="F250" s="69"/>
      <c r="G250" s="69"/>
      <c r="H250" s="70"/>
      <c r="I250" s="70"/>
      <c r="J250" s="70"/>
      <c r="K250" s="70"/>
      <c r="L250" s="65"/>
      <c r="M250" s="65"/>
      <c r="N250" s="65"/>
    </row>
    <row r="251" spans="6:14">
      <c r="F251" s="69"/>
      <c r="G251" s="69"/>
      <c r="H251" s="70"/>
      <c r="I251" s="70"/>
      <c r="J251" s="70"/>
      <c r="K251" s="70"/>
      <c r="L251" s="65"/>
      <c r="M251" s="65"/>
      <c r="N251" s="65"/>
    </row>
    <row r="252" spans="6:14">
      <c r="F252" s="69"/>
      <c r="G252" s="69"/>
      <c r="H252" s="70"/>
      <c r="I252" s="70"/>
      <c r="J252" s="70"/>
      <c r="K252" s="70"/>
      <c r="L252" s="65"/>
      <c r="M252" s="65"/>
      <c r="N252" s="65"/>
    </row>
    <row r="253" spans="6:14">
      <c r="F253" s="69"/>
      <c r="G253" s="69"/>
      <c r="H253" s="70"/>
      <c r="I253" s="70"/>
      <c r="J253" s="70"/>
      <c r="K253" s="70"/>
      <c r="L253" s="65"/>
      <c r="M253" s="65"/>
      <c r="N253" s="65"/>
    </row>
    <row r="254" spans="6:14">
      <c r="F254" s="69"/>
      <c r="G254" s="69"/>
      <c r="H254" s="70"/>
      <c r="I254" s="70"/>
      <c r="J254" s="70"/>
      <c r="K254" s="70"/>
      <c r="L254" s="65"/>
      <c r="M254" s="65"/>
      <c r="N254" s="65"/>
    </row>
    <row r="255" spans="6:14">
      <c r="F255" s="69"/>
      <c r="G255" s="69"/>
      <c r="H255" s="70"/>
      <c r="I255" s="70"/>
      <c r="J255" s="70"/>
      <c r="K255" s="70"/>
      <c r="L255" s="65"/>
      <c r="M255" s="65"/>
      <c r="N255" s="65"/>
    </row>
    <row r="256" spans="6:14">
      <c r="F256" s="69"/>
      <c r="G256" s="69"/>
      <c r="H256" s="70"/>
      <c r="I256" s="70"/>
      <c r="J256" s="70"/>
      <c r="K256" s="70"/>
      <c r="L256" s="65"/>
      <c r="M256" s="65"/>
      <c r="N256" s="65"/>
    </row>
    <row r="257" spans="6:14">
      <c r="F257" s="69"/>
      <c r="G257" s="69"/>
      <c r="H257" s="70"/>
      <c r="I257" s="70"/>
      <c r="J257" s="70"/>
      <c r="K257" s="70"/>
      <c r="L257" s="65"/>
      <c r="M257" s="65"/>
      <c r="N257" s="65"/>
    </row>
    <row r="258" spans="6:14">
      <c r="F258" s="69"/>
      <c r="G258" s="69"/>
      <c r="H258" s="70"/>
      <c r="I258" s="70"/>
      <c r="J258" s="70"/>
      <c r="K258" s="70"/>
      <c r="L258" s="65"/>
      <c r="M258" s="65"/>
      <c r="N258" s="65"/>
    </row>
    <row r="259" spans="6:14">
      <c r="F259" s="69"/>
      <c r="G259" s="69"/>
      <c r="H259" s="70"/>
      <c r="I259" s="70"/>
      <c r="J259" s="70"/>
      <c r="K259" s="70"/>
      <c r="L259" s="65"/>
      <c r="M259" s="65"/>
      <c r="N259" s="65"/>
    </row>
    <row r="260" spans="6:14">
      <c r="F260" s="69"/>
      <c r="G260" s="69"/>
      <c r="H260" s="70"/>
      <c r="I260" s="70"/>
      <c r="J260" s="70"/>
      <c r="K260" s="70"/>
      <c r="L260" s="65"/>
      <c r="M260" s="65"/>
      <c r="N260" s="65"/>
    </row>
    <row r="261" spans="6:14">
      <c r="F261" s="69"/>
      <c r="G261" s="69"/>
      <c r="H261" s="70"/>
      <c r="I261" s="70"/>
      <c r="J261" s="70"/>
      <c r="K261" s="70"/>
      <c r="L261" s="65"/>
      <c r="M261" s="65"/>
      <c r="N261" s="65"/>
    </row>
    <row r="262" spans="6:14">
      <c r="F262" s="69"/>
      <c r="G262" s="69"/>
      <c r="H262" s="70"/>
      <c r="I262" s="70"/>
      <c r="J262" s="70"/>
      <c r="K262" s="70"/>
      <c r="L262" s="65"/>
      <c r="M262" s="65"/>
      <c r="N262" s="65"/>
    </row>
    <row r="263" spans="6:14">
      <c r="F263" s="69"/>
      <c r="G263" s="69"/>
      <c r="H263" s="70"/>
      <c r="I263" s="70"/>
      <c r="J263" s="70"/>
      <c r="K263" s="70"/>
      <c r="L263" s="65"/>
      <c r="M263" s="65"/>
      <c r="N263" s="65"/>
    </row>
    <row r="264" spans="6:14">
      <c r="F264" s="69"/>
      <c r="G264" s="69"/>
      <c r="H264" s="70"/>
      <c r="I264" s="70"/>
      <c r="J264" s="70"/>
      <c r="K264" s="70"/>
      <c r="L264" s="65"/>
      <c r="M264" s="65"/>
      <c r="N264" s="65"/>
    </row>
    <row r="265" spans="6:14">
      <c r="F265" s="69"/>
      <c r="G265" s="69"/>
      <c r="H265" s="70"/>
      <c r="I265" s="70"/>
      <c r="J265" s="70"/>
      <c r="K265" s="70"/>
      <c r="L265" s="65"/>
      <c r="M265" s="65"/>
      <c r="N265" s="65"/>
    </row>
    <row r="266" spans="6:14">
      <c r="F266" s="69"/>
      <c r="G266" s="69"/>
      <c r="H266" s="70"/>
      <c r="I266" s="70"/>
      <c r="J266" s="70"/>
      <c r="K266" s="70"/>
      <c r="L266" s="65"/>
      <c r="M266" s="65"/>
      <c r="N266" s="65"/>
    </row>
    <row r="267" spans="6:14">
      <c r="F267" s="69"/>
      <c r="G267" s="69"/>
      <c r="H267" s="70"/>
      <c r="I267" s="70"/>
      <c r="J267" s="70"/>
      <c r="K267" s="70"/>
      <c r="L267" s="65"/>
      <c r="M267" s="65"/>
      <c r="N267" s="65"/>
    </row>
    <row r="268" spans="6:14">
      <c r="F268" s="69"/>
      <c r="G268" s="69"/>
      <c r="H268" s="70"/>
      <c r="I268" s="70"/>
      <c r="J268" s="70"/>
      <c r="K268" s="70"/>
      <c r="L268" s="65"/>
      <c r="M268" s="65"/>
      <c r="N268" s="65"/>
    </row>
    <row r="269" spans="6:14">
      <c r="F269" s="69"/>
      <c r="G269" s="69"/>
      <c r="H269" s="70"/>
      <c r="I269" s="70"/>
      <c r="J269" s="70"/>
      <c r="K269" s="70"/>
      <c r="L269" s="65"/>
      <c r="M269" s="65"/>
      <c r="N269" s="65"/>
    </row>
    <row r="270" spans="6:14">
      <c r="F270" s="69"/>
      <c r="G270" s="69"/>
      <c r="H270" s="70"/>
      <c r="I270" s="70"/>
      <c r="J270" s="70"/>
      <c r="K270" s="70"/>
      <c r="L270" s="65"/>
      <c r="M270" s="65"/>
      <c r="N270" s="65"/>
    </row>
    <row r="271" spans="6:14">
      <c r="F271" s="69"/>
      <c r="G271" s="69"/>
      <c r="H271" s="70"/>
      <c r="I271" s="70"/>
      <c r="J271" s="70"/>
      <c r="K271" s="70"/>
      <c r="L271" s="65"/>
      <c r="M271" s="65"/>
      <c r="N271" s="65"/>
    </row>
    <row r="272" spans="6:14">
      <c r="F272" s="69"/>
      <c r="G272" s="69"/>
      <c r="H272" s="70"/>
      <c r="I272" s="70"/>
      <c r="J272" s="70"/>
      <c r="K272" s="70"/>
      <c r="L272" s="65"/>
      <c r="M272" s="65"/>
      <c r="N272" s="65"/>
    </row>
    <row r="273" spans="6:14">
      <c r="F273" s="69"/>
      <c r="G273" s="69"/>
      <c r="H273" s="70"/>
      <c r="I273" s="70"/>
      <c r="J273" s="70"/>
      <c r="K273" s="70"/>
      <c r="L273" s="65"/>
      <c r="M273" s="65"/>
      <c r="N273" s="65"/>
    </row>
    <row r="274" spans="6:14">
      <c r="F274" s="69"/>
      <c r="G274" s="69"/>
      <c r="H274" s="70"/>
      <c r="I274" s="70"/>
      <c r="J274" s="70"/>
      <c r="K274" s="70"/>
      <c r="L274" s="65"/>
      <c r="M274" s="65"/>
      <c r="N274" s="65"/>
    </row>
    <row r="275" spans="6:14">
      <c r="F275" s="69"/>
      <c r="G275" s="69"/>
      <c r="H275" s="70"/>
      <c r="I275" s="70"/>
      <c r="J275" s="70"/>
      <c r="K275" s="70"/>
      <c r="L275" s="65"/>
      <c r="M275" s="65"/>
      <c r="N275" s="65"/>
    </row>
    <row r="276" spans="6:14">
      <c r="F276" s="69"/>
      <c r="G276" s="69"/>
      <c r="H276" s="70"/>
      <c r="I276" s="70"/>
      <c r="J276" s="70"/>
      <c r="K276" s="70"/>
      <c r="L276" s="65"/>
      <c r="M276" s="65"/>
      <c r="N276" s="65"/>
    </row>
    <row r="277" spans="6:14">
      <c r="F277" s="69"/>
      <c r="G277" s="69"/>
      <c r="H277" s="70"/>
      <c r="I277" s="70"/>
      <c r="J277" s="70"/>
      <c r="K277" s="70"/>
      <c r="L277" s="65"/>
      <c r="M277" s="65"/>
      <c r="N277" s="65"/>
    </row>
    <row r="278" spans="6:14">
      <c r="F278" s="69"/>
      <c r="G278" s="69"/>
      <c r="H278" s="70"/>
      <c r="I278" s="70"/>
      <c r="J278" s="70"/>
      <c r="K278" s="70"/>
      <c r="L278" s="65"/>
      <c r="M278" s="65"/>
      <c r="N278" s="65"/>
    </row>
    <row r="279" spans="6:14">
      <c r="F279" s="69"/>
      <c r="G279" s="69"/>
      <c r="H279" s="70"/>
      <c r="I279" s="70"/>
      <c r="J279" s="70"/>
      <c r="K279" s="70"/>
      <c r="L279" s="65"/>
      <c r="M279" s="65"/>
      <c r="N279" s="65"/>
    </row>
    <row r="280" spans="6:14">
      <c r="F280" s="69"/>
      <c r="G280" s="69"/>
      <c r="H280" s="70"/>
      <c r="I280" s="70"/>
      <c r="J280" s="70"/>
      <c r="K280" s="70"/>
      <c r="L280" s="65"/>
      <c r="M280" s="65"/>
      <c r="N280" s="65"/>
    </row>
    <row r="281" spans="6:14">
      <c r="F281" s="69"/>
      <c r="G281" s="69"/>
      <c r="H281" s="70"/>
      <c r="I281" s="70"/>
      <c r="J281" s="70"/>
      <c r="K281" s="70"/>
      <c r="L281" s="65"/>
      <c r="M281" s="65"/>
      <c r="N281" s="65"/>
    </row>
    <row r="282" spans="6:14">
      <c r="F282" s="69"/>
      <c r="G282" s="69"/>
      <c r="H282" s="70"/>
      <c r="I282" s="70"/>
      <c r="J282" s="70"/>
      <c r="K282" s="70"/>
      <c r="L282" s="65"/>
      <c r="M282" s="65"/>
      <c r="N282" s="65"/>
    </row>
    <row r="283" spans="6:14">
      <c r="F283" s="69"/>
      <c r="G283" s="69"/>
      <c r="H283" s="70"/>
      <c r="I283" s="70"/>
      <c r="J283" s="70"/>
      <c r="K283" s="70"/>
      <c r="L283" s="65"/>
      <c r="M283" s="65"/>
      <c r="N283" s="65"/>
    </row>
    <row r="284" spans="6:14">
      <c r="F284" s="69"/>
      <c r="G284" s="69"/>
      <c r="H284" s="70"/>
      <c r="I284" s="70"/>
      <c r="J284" s="70"/>
      <c r="K284" s="70"/>
      <c r="L284" s="65"/>
      <c r="M284" s="65"/>
      <c r="N284" s="65"/>
    </row>
    <row r="285" spans="6:14">
      <c r="F285" s="69"/>
      <c r="G285" s="69"/>
      <c r="H285" s="70"/>
      <c r="I285" s="70"/>
      <c r="J285" s="70"/>
      <c r="K285" s="70"/>
      <c r="L285" s="65"/>
      <c r="M285" s="65"/>
      <c r="N285" s="65"/>
    </row>
    <row r="286" spans="6:14">
      <c r="F286" s="69"/>
      <c r="G286" s="69"/>
      <c r="H286" s="70"/>
      <c r="I286" s="70"/>
      <c r="J286" s="70"/>
      <c r="K286" s="70"/>
      <c r="L286" s="65"/>
      <c r="M286" s="65"/>
      <c r="N286" s="65"/>
    </row>
    <row r="287" spans="6:14">
      <c r="F287" s="69"/>
      <c r="G287" s="69"/>
      <c r="H287" s="70"/>
      <c r="I287" s="70"/>
      <c r="J287" s="70"/>
      <c r="K287" s="70"/>
      <c r="L287" s="65"/>
      <c r="M287" s="65"/>
      <c r="N287" s="65"/>
    </row>
    <row r="288" spans="6:14">
      <c r="F288" s="69"/>
      <c r="G288" s="69"/>
      <c r="H288" s="70"/>
      <c r="I288" s="70"/>
      <c r="J288" s="70"/>
      <c r="K288" s="70"/>
      <c r="L288" s="65"/>
      <c r="M288" s="65"/>
      <c r="N288" s="65"/>
    </row>
    <row r="289" spans="6:14">
      <c r="F289" s="69"/>
      <c r="G289" s="69"/>
      <c r="H289" s="70"/>
      <c r="I289" s="70"/>
      <c r="J289" s="70"/>
      <c r="K289" s="70"/>
      <c r="L289" s="65"/>
      <c r="M289" s="65"/>
      <c r="N289" s="65"/>
    </row>
    <row r="290" spans="6:14">
      <c r="F290" s="69"/>
      <c r="G290" s="69"/>
      <c r="H290" s="70"/>
      <c r="I290" s="70"/>
      <c r="J290" s="70"/>
      <c r="K290" s="70"/>
      <c r="L290" s="65"/>
      <c r="M290" s="65"/>
      <c r="N290" s="65"/>
    </row>
    <row r="291" spans="6:14">
      <c r="F291" s="69"/>
      <c r="G291" s="69"/>
      <c r="H291" s="70"/>
      <c r="I291" s="70"/>
      <c r="J291" s="70"/>
      <c r="K291" s="70"/>
      <c r="L291" s="65"/>
      <c r="M291" s="65"/>
      <c r="N291" s="65"/>
    </row>
    <row r="292" spans="6:14">
      <c r="F292" s="69"/>
      <c r="G292" s="69"/>
      <c r="H292" s="70"/>
      <c r="I292" s="70"/>
      <c r="J292" s="70"/>
      <c r="K292" s="70"/>
      <c r="L292" s="65"/>
      <c r="M292" s="65"/>
      <c r="N292" s="65"/>
    </row>
    <row r="293" spans="6:14">
      <c r="F293" s="69"/>
      <c r="G293" s="69"/>
      <c r="H293" s="70"/>
      <c r="I293" s="70"/>
      <c r="J293" s="70"/>
      <c r="K293" s="70"/>
      <c r="L293" s="65"/>
      <c r="M293" s="65"/>
      <c r="N293" s="65"/>
    </row>
    <row r="294" spans="6:14">
      <c r="F294" s="69"/>
      <c r="G294" s="69"/>
      <c r="H294" s="70"/>
      <c r="I294" s="70"/>
      <c r="J294" s="70"/>
      <c r="K294" s="70"/>
      <c r="L294" s="65"/>
      <c r="M294" s="65"/>
      <c r="N294" s="65"/>
    </row>
    <row r="295" spans="6:14">
      <c r="F295" s="69"/>
      <c r="G295" s="69"/>
      <c r="H295" s="70"/>
      <c r="I295" s="70"/>
      <c r="J295" s="70"/>
      <c r="K295" s="70"/>
      <c r="L295" s="65"/>
      <c r="M295" s="65"/>
      <c r="N295" s="65"/>
    </row>
    <row r="296" spans="6:14">
      <c r="F296" s="69"/>
      <c r="G296" s="69"/>
      <c r="H296" s="70"/>
      <c r="I296" s="70"/>
      <c r="J296" s="70"/>
      <c r="K296" s="70"/>
      <c r="L296" s="65"/>
      <c r="M296" s="65"/>
      <c r="N296" s="65"/>
    </row>
    <row r="297" spans="6:14">
      <c r="F297" s="69"/>
      <c r="G297" s="69"/>
      <c r="H297" s="70"/>
      <c r="I297" s="70"/>
      <c r="J297" s="70"/>
      <c r="K297" s="70"/>
      <c r="L297" s="65"/>
      <c r="M297" s="65"/>
      <c r="N297" s="65"/>
    </row>
    <row r="298" spans="6:14">
      <c r="F298" s="69"/>
      <c r="G298" s="69"/>
      <c r="H298" s="70"/>
      <c r="I298" s="70"/>
      <c r="J298" s="70"/>
      <c r="K298" s="70"/>
      <c r="L298" s="65"/>
      <c r="M298" s="65"/>
      <c r="N298" s="65"/>
    </row>
    <row r="299" spans="6:14">
      <c r="F299" s="69"/>
      <c r="G299" s="69"/>
      <c r="H299" s="70"/>
      <c r="I299" s="70"/>
      <c r="J299" s="70"/>
      <c r="K299" s="70"/>
      <c r="L299" s="65"/>
      <c r="M299" s="65"/>
      <c r="N299" s="65"/>
    </row>
    <row r="300" spans="6:14">
      <c r="F300" s="69"/>
      <c r="G300" s="69"/>
      <c r="H300" s="70"/>
      <c r="I300" s="70"/>
      <c r="J300" s="70"/>
      <c r="K300" s="70"/>
      <c r="L300" s="65"/>
      <c r="M300" s="65"/>
      <c r="N300" s="65"/>
    </row>
    <row r="301" spans="6:14">
      <c r="F301" s="69"/>
      <c r="G301" s="69"/>
      <c r="H301" s="70"/>
      <c r="I301" s="70"/>
      <c r="J301" s="70"/>
      <c r="K301" s="70"/>
      <c r="L301" s="65"/>
      <c r="M301" s="65"/>
      <c r="N301" s="65"/>
    </row>
    <row r="302" spans="6:14">
      <c r="F302" s="69"/>
      <c r="G302" s="69"/>
      <c r="H302" s="70"/>
      <c r="I302" s="70"/>
      <c r="J302" s="70"/>
      <c r="K302" s="70"/>
      <c r="L302" s="65"/>
      <c r="M302" s="65"/>
      <c r="N302" s="65"/>
    </row>
    <row r="303" spans="6:14">
      <c r="F303" s="69"/>
      <c r="G303" s="69"/>
      <c r="H303" s="70"/>
      <c r="I303" s="70"/>
      <c r="J303" s="70"/>
      <c r="K303" s="70"/>
      <c r="L303" s="65"/>
      <c r="M303" s="65"/>
      <c r="N303" s="65"/>
    </row>
    <row r="304" spans="6:14">
      <c r="F304" s="69"/>
      <c r="G304" s="69"/>
      <c r="H304" s="70"/>
      <c r="I304" s="70"/>
      <c r="J304" s="70"/>
      <c r="K304" s="70"/>
      <c r="L304" s="65"/>
      <c r="M304" s="65"/>
      <c r="N304" s="65"/>
    </row>
    <row r="305" spans="6:14">
      <c r="F305" s="69"/>
      <c r="G305" s="69"/>
      <c r="H305" s="70"/>
      <c r="I305" s="70"/>
      <c r="J305" s="70"/>
      <c r="K305" s="70"/>
      <c r="L305" s="65"/>
      <c r="M305" s="65"/>
      <c r="N305" s="65"/>
    </row>
    <row r="306" spans="6:14">
      <c r="F306" s="69"/>
      <c r="G306" s="69"/>
      <c r="H306" s="70"/>
      <c r="I306" s="70"/>
      <c r="J306" s="70"/>
      <c r="K306" s="70"/>
      <c r="L306" s="65"/>
      <c r="M306" s="65"/>
      <c r="N306" s="65"/>
    </row>
    <row r="307" spans="6:14">
      <c r="F307" s="69"/>
      <c r="G307" s="69"/>
      <c r="H307" s="70"/>
      <c r="I307" s="70"/>
      <c r="J307" s="70"/>
      <c r="K307" s="70"/>
      <c r="L307" s="65"/>
      <c r="M307" s="65"/>
      <c r="N307" s="65"/>
    </row>
    <row r="308" spans="6:14">
      <c r="F308" s="69"/>
      <c r="G308" s="69"/>
      <c r="H308" s="70"/>
      <c r="I308" s="70"/>
      <c r="J308" s="70"/>
      <c r="K308" s="70"/>
      <c r="L308" s="65"/>
      <c r="M308" s="65"/>
      <c r="N308" s="65"/>
    </row>
    <row r="309" spans="6:14">
      <c r="F309" s="69"/>
      <c r="G309" s="69"/>
      <c r="H309" s="70"/>
      <c r="I309" s="70"/>
      <c r="J309" s="70"/>
      <c r="K309" s="70"/>
      <c r="L309" s="65"/>
      <c r="M309" s="65"/>
      <c r="N309" s="65"/>
    </row>
    <row r="310" spans="6:14">
      <c r="F310" s="69"/>
      <c r="G310" s="69"/>
      <c r="H310" s="70"/>
      <c r="I310" s="70"/>
      <c r="J310" s="70"/>
      <c r="K310" s="70"/>
      <c r="L310" s="65"/>
      <c r="M310" s="65"/>
      <c r="N310" s="65"/>
    </row>
    <row r="311" spans="6:14">
      <c r="F311" s="69"/>
      <c r="G311" s="69"/>
      <c r="H311" s="70"/>
      <c r="I311" s="70"/>
      <c r="J311" s="70"/>
      <c r="K311" s="70"/>
      <c r="L311" s="65"/>
      <c r="M311" s="65"/>
      <c r="N311" s="65"/>
    </row>
    <row r="312" spans="6:14">
      <c r="F312" s="69"/>
      <c r="G312" s="69"/>
      <c r="H312" s="70"/>
      <c r="I312" s="70"/>
      <c r="J312" s="70"/>
      <c r="K312" s="70"/>
      <c r="L312" s="65"/>
      <c r="M312" s="65"/>
      <c r="N312" s="65"/>
    </row>
    <row r="313" spans="6:14">
      <c r="F313" s="69"/>
      <c r="G313" s="69"/>
      <c r="H313" s="70"/>
      <c r="I313" s="70"/>
      <c r="J313" s="70"/>
      <c r="K313" s="70"/>
      <c r="L313" s="65"/>
      <c r="M313" s="65"/>
      <c r="N313" s="65"/>
    </row>
    <row r="314" spans="6:14">
      <c r="F314" s="69"/>
      <c r="G314" s="69"/>
      <c r="H314" s="70"/>
      <c r="I314" s="70"/>
      <c r="J314" s="70"/>
      <c r="K314" s="70"/>
      <c r="L314" s="65"/>
      <c r="M314" s="65"/>
      <c r="N314" s="65"/>
    </row>
    <row r="315" spans="6:14">
      <c r="F315" s="69"/>
      <c r="G315" s="69"/>
      <c r="H315" s="70"/>
      <c r="I315" s="70"/>
      <c r="J315" s="70"/>
      <c r="K315" s="70"/>
      <c r="L315" s="65"/>
      <c r="M315" s="65"/>
      <c r="N315" s="65"/>
    </row>
    <row r="316" spans="6:14">
      <c r="F316" s="69"/>
      <c r="G316" s="69"/>
      <c r="H316" s="70"/>
      <c r="I316" s="70"/>
      <c r="J316" s="70"/>
      <c r="K316" s="70"/>
      <c r="L316" s="65"/>
      <c r="M316" s="65"/>
      <c r="N316" s="65"/>
    </row>
    <row r="317" spans="6:14">
      <c r="F317" s="69"/>
      <c r="G317" s="69"/>
      <c r="H317" s="70"/>
      <c r="I317" s="70"/>
      <c r="J317" s="70"/>
      <c r="K317" s="70"/>
      <c r="L317" s="65"/>
      <c r="M317" s="65"/>
      <c r="N317" s="65"/>
    </row>
    <row r="318" spans="6:14">
      <c r="F318" s="69"/>
      <c r="G318" s="69"/>
      <c r="H318" s="70"/>
      <c r="I318" s="70"/>
      <c r="J318" s="70"/>
      <c r="K318" s="70"/>
      <c r="L318" s="65"/>
      <c r="M318" s="65"/>
      <c r="N318" s="65"/>
    </row>
    <row r="319" spans="6:14">
      <c r="F319" s="69"/>
      <c r="G319" s="69"/>
      <c r="H319" s="70"/>
      <c r="I319" s="70"/>
      <c r="J319" s="70"/>
      <c r="K319" s="70"/>
      <c r="L319" s="65"/>
      <c r="M319" s="65"/>
      <c r="N319" s="65"/>
    </row>
    <row r="320" spans="6:14">
      <c r="F320" s="69"/>
      <c r="G320" s="69"/>
      <c r="H320" s="70"/>
      <c r="I320" s="70"/>
      <c r="J320" s="70"/>
      <c r="K320" s="70"/>
      <c r="L320" s="65"/>
      <c r="M320" s="65"/>
      <c r="N320" s="65"/>
    </row>
    <row r="321" spans="6:14">
      <c r="F321" s="69"/>
      <c r="G321" s="69"/>
      <c r="H321" s="70"/>
      <c r="I321" s="70"/>
      <c r="J321" s="70"/>
      <c r="K321" s="70"/>
      <c r="L321" s="65"/>
      <c r="M321" s="65"/>
      <c r="N321" s="65"/>
    </row>
    <row r="322" spans="6:14">
      <c r="F322" s="69"/>
      <c r="G322" s="69"/>
      <c r="H322" s="70"/>
      <c r="I322" s="70"/>
      <c r="J322" s="70"/>
      <c r="K322" s="70"/>
      <c r="L322" s="65"/>
      <c r="M322" s="65"/>
      <c r="N322" s="65"/>
    </row>
    <row r="323" spans="6:14">
      <c r="F323" s="69"/>
      <c r="G323" s="69"/>
      <c r="H323" s="70"/>
      <c r="I323" s="70"/>
      <c r="J323" s="70"/>
      <c r="K323" s="70"/>
      <c r="L323" s="65"/>
      <c r="M323" s="65"/>
      <c r="N323" s="65"/>
    </row>
    <row r="324" spans="6:14">
      <c r="F324" s="69"/>
      <c r="G324" s="69"/>
      <c r="H324" s="70"/>
      <c r="I324" s="70"/>
      <c r="J324" s="70"/>
      <c r="K324" s="70"/>
      <c r="L324" s="65"/>
      <c r="M324" s="65"/>
      <c r="N324" s="65"/>
    </row>
    <row r="325" spans="6:14">
      <c r="F325" s="69"/>
      <c r="G325" s="69"/>
      <c r="H325" s="70"/>
      <c r="I325" s="70"/>
      <c r="J325" s="70"/>
      <c r="K325" s="70"/>
      <c r="L325" s="65"/>
      <c r="M325" s="65"/>
      <c r="N325" s="65"/>
    </row>
    <row r="326" spans="6:14">
      <c r="F326" s="69"/>
      <c r="G326" s="69"/>
      <c r="H326" s="70"/>
      <c r="I326" s="70"/>
      <c r="J326" s="70"/>
      <c r="K326" s="70"/>
      <c r="L326" s="65"/>
      <c r="M326" s="65"/>
      <c r="N326" s="65"/>
    </row>
    <row r="327" spans="6:14">
      <c r="F327" s="69"/>
      <c r="G327" s="69"/>
      <c r="H327" s="70"/>
      <c r="I327" s="70"/>
      <c r="J327" s="70"/>
      <c r="K327" s="70"/>
      <c r="L327" s="65"/>
      <c r="M327" s="65"/>
      <c r="N327" s="65"/>
    </row>
    <row r="328" spans="6:14">
      <c r="F328" s="69"/>
      <c r="G328" s="69"/>
      <c r="H328" s="70"/>
      <c r="I328" s="70"/>
      <c r="J328" s="70"/>
      <c r="K328" s="70"/>
      <c r="L328" s="65"/>
      <c r="M328" s="65"/>
      <c r="N328" s="65"/>
    </row>
    <row r="329" spans="6:14">
      <c r="F329" s="69"/>
      <c r="G329" s="69"/>
      <c r="H329" s="70"/>
      <c r="I329" s="70"/>
      <c r="J329" s="70"/>
      <c r="K329" s="70"/>
      <c r="L329" s="65"/>
      <c r="M329" s="65"/>
      <c r="N329" s="65"/>
    </row>
    <row r="330" spans="6:14">
      <c r="F330" s="69"/>
      <c r="G330" s="69"/>
      <c r="H330" s="70"/>
      <c r="I330" s="70"/>
      <c r="J330" s="70"/>
      <c r="K330" s="70"/>
      <c r="L330" s="65"/>
      <c r="M330" s="65"/>
      <c r="N330" s="65"/>
    </row>
    <row r="331" spans="6:14">
      <c r="F331" s="69"/>
      <c r="G331" s="69"/>
      <c r="H331" s="70"/>
      <c r="I331" s="70"/>
      <c r="J331" s="70"/>
      <c r="K331" s="70"/>
      <c r="L331" s="65"/>
      <c r="M331" s="65"/>
      <c r="N331" s="65"/>
    </row>
    <row r="332" spans="6:14">
      <c r="F332" s="69"/>
      <c r="G332" s="69"/>
      <c r="H332" s="70"/>
      <c r="I332" s="70"/>
      <c r="J332" s="70"/>
      <c r="K332" s="70"/>
      <c r="L332" s="65"/>
      <c r="M332" s="65"/>
      <c r="N332" s="65"/>
    </row>
    <row r="333" spans="6:14">
      <c r="F333" s="69"/>
      <c r="G333" s="69"/>
      <c r="H333" s="70"/>
      <c r="I333" s="70"/>
      <c r="J333" s="70"/>
      <c r="K333" s="70"/>
      <c r="L333" s="65"/>
      <c r="M333" s="65"/>
      <c r="N333" s="65"/>
    </row>
    <row r="334" spans="6:14">
      <c r="F334" s="69"/>
      <c r="G334" s="69"/>
      <c r="H334" s="70"/>
      <c r="I334" s="70"/>
      <c r="J334" s="70"/>
      <c r="K334" s="70"/>
      <c r="L334" s="65"/>
      <c r="M334" s="65"/>
      <c r="N334" s="65"/>
    </row>
    <row r="335" spans="6:14">
      <c r="F335" s="69"/>
      <c r="G335" s="69"/>
      <c r="H335" s="70"/>
      <c r="I335" s="70"/>
      <c r="J335" s="70"/>
      <c r="K335" s="70"/>
      <c r="L335" s="65"/>
      <c r="M335" s="65"/>
      <c r="N335" s="65"/>
    </row>
    <row r="336" spans="6:14">
      <c r="F336" s="69"/>
      <c r="G336" s="69"/>
      <c r="H336" s="70"/>
      <c r="I336" s="70"/>
      <c r="J336" s="70"/>
      <c r="K336" s="70"/>
      <c r="L336" s="65"/>
      <c r="M336" s="65"/>
      <c r="N336" s="65"/>
    </row>
    <row r="337" spans="6:14">
      <c r="F337" s="69"/>
      <c r="G337" s="69"/>
      <c r="H337" s="70"/>
      <c r="I337" s="70"/>
      <c r="J337" s="70"/>
      <c r="K337" s="70"/>
      <c r="L337" s="65"/>
      <c r="M337" s="65"/>
      <c r="N337" s="65"/>
    </row>
    <row r="338" spans="6:14">
      <c r="F338" s="69"/>
      <c r="G338" s="69"/>
      <c r="H338" s="70"/>
      <c r="I338" s="70"/>
      <c r="J338" s="70"/>
      <c r="K338" s="70"/>
      <c r="L338" s="65"/>
      <c r="M338" s="65"/>
      <c r="N338" s="65"/>
    </row>
    <row r="339" spans="6:14">
      <c r="F339" s="69"/>
      <c r="G339" s="69"/>
      <c r="H339" s="70"/>
      <c r="I339" s="70"/>
      <c r="J339" s="70"/>
      <c r="K339" s="70"/>
      <c r="L339" s="65"/>
      <c r="M339" s="65"/>
      <c r="N339" s="65"/>
    </row>
    <row r="340" spans="6:14">
      <c r="F340" s="69"/>
      <c r="G340" s="69"/>
      <c r="H340" s="70"/>
      <c r="I340" s="70"/>
      <c r="J340" s="70"/>
      <c r="K340" s="70"/>
      <c r="L340" s="65"/>
      <c r="M340" s="65"/>
      <c r="N340" s="65"/>
    </row>
    <row r="341" spans="6:14">
      <c r="F341" s="69"/>
      <c r="G341" s="69"/>
      <c r="H341" s="70"/>
      <c r="I341" s="70"/>
      <c r="J341" s="70"/>
      <c r="K341" s="70"/>
      <c r="L341" s="65"/>
      <c r="M341" s="65"/>
      <c r="N341" s="65"/>
    </row>
    <row r="342" spans="6:14">
      <c r="F342" s="67"/>
      <c r="G342" s="67"/>
      <c r="H342" s="68"/>
      <c r="I342" s="68"/>
      <c r="J342" s="68"/>
      <c r="K342" s="68"/>
    </row>
    <row r="343" spans="6:14">
      <c r="F343" s="67"/>
      <c r="G343" s="67"/>
      <c r="H343" s="68"/>
      <c r="I343" s="68"/>
      <c r="J343" s="68"/>
      <c r="K343" s="68"/>
    </row>
    <row r="344" spans="6:14">
      <c r="F344" s="67"/>
      <c r="G344" s="67"/>
      <c r="H344" s="68"/>
      <c r="I344" s="68"/>
      <c r="J344" s="68"/>
      <c r="K344" s="68"/>
    </row>
    <row r="345" spans="6:14">
      <c r="F345" s="67"/>
      <c r="G345" s="67"/>
      <c r="H345" s="68"/>
      <c r="I345" s="68"/>
      <c r="J345" s="68"/>
      <c r="K345" s="68"/>
    </row>
    <row r="346" spans="6:14">
      <c r="F346" s="67"/>
      <c r="G346" s="67"/>
      <c r="H346" s="68"/>
      <c r="I346" s="68"/>
      <c r="J346" s="68"/>
      <c r="K346" s="68"/>
    </row>
    <row r="347" spans="6:14">
      <c r="F347" s="67"/>
      <c r="G347" s="67"/>
      <c r="H347" s="68"/>
      <c r="I347" s="68"/>
      <c r="J347" s="68"/>
      <c r="K347" s="68"/>
    </row>
    <row r="348" spans="6:14">
      <c r="F348" s="67"/>
      <c r="G348" s="67"/>
      <c r="H348" s="68"/>
      <c r="I348" s="68"/>
      <c r="J348" s="68"/>
      <c r="K348" s="68"/>
    </row>
    <row r="349" spans="6:14">
      <c r="F349" s="67"/>
      <c r="G349" s="67"/>
      <c r="H349" s="68"/>
      <c r="I349" s="68"/>
      <c r="J349" s="68"/>
      <c r="K349" s="68"/>
    </row>
    <row r="350" spans="6:14">
      <c r="F350" s="67"/>
      <c r="G350" s="67"/>
      <c r="H350" s="68"/>
      <c r="I350" s="68"/>
      <c r="J350" s="68"/>
      <c r="K350" s="68"/>
    </row>
    <row r="351" spans="6:14">
      <c r="F351" s="67"/>
      <c r="G351" s="67"/>
      <c r="H351" s="68"/>
      <c r="I351" s="68"/>
      <c r="J351" s="68"/>
      <c r="K351" s="68"/>
    </row>
    <row r="352" spans="6:14">
      <c r="F352" s="67"/>
      <c r="G352" s="67"/>
      <c r="H352" s="68"/>
      <c r="I352" s="68"/>
      <c r="J352" s="68"/>
      <c r="K352" s="68"/>
    </row>
    <row r="353" spans="6:11">
      <c r="F353" s="67"/>
      <c r="G353" s="67"/>
      <c r="H353" s="68"/>
      <c r="I353" s="68"/>
      <c r="J353" s="68"/>
      <c r="K353" s="68"/>
    </row>
    <row r="354" spans="6:11">
      <c r="F354" s="67"/>
      <c r="G354" s="67"/>
      <c r="H354" s="68"/>
      <c r="I354" s="68"/>
      <c r="J354" s="68"/>
      <c r="K354" s="68"/>
    </row>
    <row r="355" spans="6:11">
      <c r="F355" s="67"/>
      <c r="G355" s="67"/>
      <c r="H355" s="68"/>
      <c r="I355" s="68"/>
      <c r="J355" s="68"/>
      <c r="K355" s="68"/>
    </row>
    <row r="356" spans="6:11">
      <c r="F356" s="67"/>
      <c r="G356" s="67"/>
      <c r="H356" s="68"/>
      <c r="I356" s="68"/>
      <c r="J356" s="68"/>
      <c r="K356" s="68"/>
    </row>
    <row r="357" spans="6:11">
      <c r="F357" s="67"/>
      <c r="G357" s="67"/>
      <c r="H357" s="68"/>
      <c r="I357" s="68"/>
      <c r="J357" s="68"/>
      <c r="K357" s="68"/>
    </row>
    <row r="358" spans="6:11">
      <c r="F358" s="67"/>
      <c r="G358" s="67"/>
      <c r="H358" s="68"/>
      <c r="I358" s="68"/>
      <c r="J358" s="68"/>
      <c r="K358" s="68"/>
    </row>
    <row r="359" spans="6:11">
      <c r="F359" s="67"/>
      <c r="G359" s="67"/>
      <c r="H359" s="68"/>
      <c r="I359" s="68"/>
      <c r="J359" s="68"/>
      <c r="K359" s="68"/>
    </row>
    <row r="360" spans="6:11">
      <c r="F360" s="67"/>
      <c r="G360" s="67"/>
      <c r="H360" s="68"/>
      <c r="I360" s="68"/>
      <c r="J360" s="68"/>
      <c r="K360" s="68"/>
    </row>
    <row r="361" spans="6:11">
      <c r="F361" s="67"/>
      <c r="G361" s="67"/>
      <c r="H361" s="68"/>
      <c r="I361" s="68"/>
      <c r="J361" s="68"/>
      <c r="K361" s="68"/>
    </row>
    <row r="362" spans="6:11">
      <c r="F362" s="67"/>
      <c r="G362" s="67"/>
      <c r="H362" s="68"/>
      <c r="I362" s="68"/>
      <c r="J362" s="68"/>
      <c r="K362" s="68"/>
    </row>
    <row r="363" spans="6:11">
      <c r="F363" s="67"/>
      <c r="G363" s="67"/>
      <c r="H363" s="68"/>
      <c r="I363" s="68"/>
      <c r="J363" s="68"/>
      <c r="K363" s="68"/>
    </row>
    <row r="364" spans="6:11">
      <c r="F364" s="67"/>
      <c r="G364" s="67"/>
      <c r="H364" s="68"/>
      <c r="I364" s="68"/>
      <c r="J364" s="68"/>
      <c r="K364" s="68"/>
    </row>
    <row r="365" spans="6:11">
      <c r="F365" s="67"/>
      <c r="G365" s="67"/>
      <c r="H365" s="68"/>
      <c r="I365" s="68"/>
      <c r="J365" s="68"/>
      <c r="K365" s="68"/>
    </row>
    <row r="366" spans="6:11">
      <c r="F366" s="67"/>
      <c r="G366" s="67"/>
      <c r="H366" s="68"/>
      <c r="I366" s="68"/>
      <c r="J366" s="68"/>
      <c r="K366" s="68"/>
    </row>
    <row r="367" spans="6:11">
      <c r="F367" s="67"/>
      <c r="G367" s="67"/>
      <c r="H367" s="68"/>
      <c r="I367" s="68"/>
      <c r="J367" s="68"/>
      <c r="K367" s="68"/>
    </row>
    <row r="368" spans="6:11">
      <c r="F368" s="67"/>
      <c r="G368" s="67"/>
      <c r="H368" s="68"/>
      <c r="I368" s="68"/>
      <c r="J368" s="68"/>
      <c r="K368" s="68"/>
    </row>
    <row r="369" spans="6:11">
      <c r="F369" s="67"/>
      <c r="G369" s="67"/>
      <c r="H369" s="68"/>
      <c r="I369" s="68"/>
      <c r="J369" s="68"/>
      <c r="K369" s="68"/>
    </row>
    <row r="370" spans="6:11">
      <c r="F370" s="67"/>
      <c r="G370" s="67"/>
      <c r="H370" s="68"/>
      <c r="I370" s="68"/>
      <c r="J370" s="68"/>
      <c r="K370" s="68"/>
    </row>
    <row r="371" spans="6:11">
      <c r="F371" s="67"/>
      <c r="G371" s="67"/>
      <c r="H371" s="68"/>
      <c r="I371" s="68"/>
      <c r="J371" s="68"/>
      <c r="K371" s="68"/>
    </row>
    <row r="372" spans="6:11">
      <c r="F372" s="67"/>
      <c r="G372" s="67"/>
      <c r="H372" s="68"/>
      <c r="I372" s="68"/>
      <c r="J372" s="68"/>
      <c r="K372" s="68"/>
    </row>
    <row r="373" spans="6:11">
      <c r="F373" s="67"/>
      <c r="G373" s="67"/>
      <c r="H373" s="68"/>
      <c r="I373" s="68"/>
      <c r="J373" s="68"/>
      <c r="K373" s="68"/>
    </row>
    <row r="374" spans="6:11">
      <c r="F374" s="67"/>
      <c r="G374" s="67"/>
      <c r="H374" s="68"/>
      <c r="I374" s="68"/>
      <c r="J374" s="68"/>
      <c r="K374" s="68"/>
    </row>
    <row r="375" spans="6:11">
      <c r="F375" s="67"/>
      <c r="G375" s="67"/>
      <c r="H375" s="68"/>
      <c r="I375" s="68"/>
      <c r="J375" s="68"/>
      <c r="K375" s="68"/>
    </row>
    <row r="376" spans="6:11">
      <c r="F376" s="67"/>
      <c r="G376" s="67"/>
      <c r="H376" s="68"/>
      <c r="I376" s="68"/>
      <c r="J376" s="68"/>
      <c r="K376" s="68"/>
    </row>
    <row r="1048576" spans="3:5">
      <c r="C1048576" s="64"/>
      <c r="E1048576" s="65"/>
    </row>
  </sheetData>
  <mergeCells count="1">
    <mergeCell ref="A1:J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showGridLines="0" view="pageBreakPreview" topLeftCell="B1" zoomScaleSheetLayoutView="100" workbookViewId="0">
      <pane ySplit="2" topLeftCell="A3" activePane="bottomLeft" state="frozenSplit"/>
      <selection activeCell="L13" sqref="L13"/>
      <selection pane="bottomLeft" activeCell="G11" sqref="G11"/>
    </sheetView>
  </sheetViews>
  <sheetFormatPr defaultRowHeight="15"/>
  <cols>
    <col min="1" max="1" width="15.85546875" customWidth="1"/>
    <col min="2" max="2" width="14.7109375" customWidth="1"/>
    <col min="3" max="3" width="11.5703125" customWidth="1"/>
    <col min="4" max="4" width="67.42578125" customWidth="1"/>
    <col min="5" max="5" width="14.85546875" customWidth="1"/>
    <col min="6" max="9" width="20.7109375" customWidth="1"/>
    <col min="11" max="11" width="17.7109375" customWidth="1"/>
  </cols>
  <sheetData>
    <row r="1" spans="1:9" ht="39.950000000000003" customHeight="1">
      <c r="A1" s="472" t="s">
        <v>168</v>
      </c>
      <c r="B1" s="472"/>
      <c r="C1" s="472"/>
      <c r="D1" s="472"/>
      <c r="E1" s="472"/>
      <c r="F1" s="472"/>
      <c r="G1" s="472"/>
      <c r="H1" s="472"/>
      <c r="I1" s="472"/>
    </row>
    <row r="3" spans="1:9" ht="30" customHeight="1">
      <c r="A3" s="311" t="s">
        <v>169</v>
      </c>
      <c r="B3" s="311" t="s">
        <v>170</v>
      </c>
      <c r="C3" s="311" t="s">
        <v>171</v>
      </c>
      <c r="D3" s="312" t="s">
        <v>7</v>
      </c>
      <c r="E3" s="311" t="s">
        <v>172</v>
      </c>
      <c r="F3" s="313" t="s">
        <v>173</v>
      </c>
      <c r="G3" s="313" t="s">
        <v>174</v>
      </c>
      <c r="H3" s="313" t="s">
        <v>175</v>
      </c>
      <c r="I3" s="313" t="s">
        <v>176</v>
      </c>
    </row>
    <row r="4" spans="1:9">
      <c r="A4" s="314"/>
      <c r="B4" s="314"/>
      <c r="C4" s="314"/>
      <c r="D4" s="314"/>
      <c r="E4" s="314"/>
      <c r="F4" s="314"/>
      <c r="G4" s="314"/>
      <c r="H4" s="314"/>
      <c r="I4" s="314"/>
    </row>
    <row r="5" spans="1:9" ht="36" customHeight="1">
      <c r="A5" s="315"/>
      <c r="B5" s="315"/>
      <c r="C5" s="316" t="s">
        <v>177</v>
      </c>
      <c r="D5" s="317" t="s">
        <v>193</v>
      </c>
      <c r="E5" s="316" t="s">
        <v>178</v>
      </c>
      <c r="F5" s="318" t="s">
        <v>179</v>
      </c>
      <c r="G5" s="319"/>
      <c r="H5" s="319"/>
      <c r="I5" s="320">
        <f>SUM(H6:H10)</f>
        <v>11.280000000000001</v>
      </c>
    </row>
    <row r="6" spans="1:9" ht="50.1" customHeight="1">
      <c r="A6" s="324" t="s">
        <v>180</v>
      </c>
      <c r="B6" s="324" t="s">
        <v>188</v>
      </c>
      <c r="C6" s="324">
        <v>4517</v>
      </c>
      <c r="D6" s="325" t="s">
        <v>189</v>
      </c>
      <c r="E6" s="324" t="s">
        <v>187</v>
      </c>
      <c r="F6" s="326">
        <v>0.2</v>
      </c>
      <c r="G6" s="327">
        <v>1.1599999999999999</v>
      </c>
      <c r="H6" s="328">
        <f t="shared" ref="H6:H10" si="0">TRUNC(F6*G6,2)</f>
        <v>0.23</v>
      </c>
      <c r="I6" s="321"/>
    </row>
    <row r="7" spans="1:9" ht="50.1" customHeight="1">
      <c r="A7" s="324" t="s">
        <v>180</v>
      </c>
      <c r="B7" s="324" t="s">
        <v>188</v>
      </c>
      <c r="C7" s="324">
        <v>6189</v>
      </c>
      <c r="D7" s="325" t="s">
        <v>190</v>
      </c>
      <c r="E7" s="324" t="s">
        <v>187</v>
      </c>
      <c r="F7" s="326">
        <v>0.125</v>
      </c>
      <c r="G7" s="327">
        <v>6.33</v>
      </c>
      <c r="H7" s="328">
        <f t="shared" si="0"/>
        <v>0.79</v>
      </c>
      <c r="I7" s="321"/>
    </row>
    <row r="8" spans="1:9" ht="50.1" customHeight="1">
      <c r="A8" s="324" t="s">
        <v>180</v>
      </c>
      <c r="B8" s="324" t="s">
        <v>188</v>
      </c>
      <c r="C8" s="324">
        <v>34492</v>
      </c>
      <c r="D8" s="325" t="s">
        <v>191</v>
      </c>
      <c r="E8" s="324" t="s">
        <v>186</v>
      </c>
      <c r="F8" s="326">
        <f>0.3*0.05</f>
        <v>1.4999999999999999E-2</v>
      </c>
      <c r="G8" s="327">
        <v>292.27999999999997</v>
      </c>
      <c r="H8" s="328">
        <f t="shared" si="0"/>
        <v>4.38</v>
      </c>
      <c r="I8" s="321"/>
    </row>
    <row r="9" spans="1:9" ht="50.1" customHeight="1">
      <c r="A9" s="324" t="s">
        <v>181</v>
      </c>
      <c r="B9" s="324" t="s">
        <v>188</v>
      </c>
      <c r="C9" s="324">
        <v>88309</v>
      </c>
      <c r="D9" s="325" t="s">
        <v>185</v>
      </c>
      <c r="E9" s="324" t="s">
        <v>182</v>
      </c>
      <c r="F9" s="326">
        <v>0.16600000000000001</v>
      </c>
      <c r="G9" s="327">
        <v>19.64</v>
      </c>
      <c r="H9" s="328">
        <f t="shared" si="0"/>
        <v>3.26</v>
      </c>
      <c r="I9" s="321"/>
    </row>
    <row r="10" spans="1:9" ht="50.1" customHeight="1">
      <c r="A10" s="329" t="s">
        <v>181</v>
      </c>
      <c r="B10" s="329" t="s">
        <v>188</v>
      </c>
      <c r="C10" s="329" t="s">
        <v>183</v>
      </c>
      <c r="D10" s="330" t="s">
        <v>184</v>
      </c>
      <c r="E10" s="329" t="s">
        <v>182</v>
      </c>
      <c r="F10" s="331">
        <v>0.16600000000000001</v>
      </c>
      <c r="G10" s="332">
        <v>15.81</v>
      </c>
      <c r="H10" s="333">
        <f t="shared" si="0"/>
        <v>2.62</v>
      </c>
      <c r="I10" s="322"/>
    </row>
    <row r="11" spans="1:9">
      <c r="A11" s="323" t="s">
        <v>192</v>
      </c>
      <c r="B11" s="314"/>
      <c r="C11" s="314"/>
      <c r="D11" s="314"/>
      <c r="E11" s="314"/>
      <c r="F11" s="314"/>
      <c r="G11" s="314"/>
      <c r="H11" s="314"/>
      <c r="I11" s="314"/>
    </row>
    <row r="12" spans="1:9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9">
      <c r="A13" s="314"/>
      <c r="B13" s="314"/>
      <c r="C13" s="314"/>
      <c r="D13" s="314"/>
      <c r="E13" s="314"/>
      <c r="F13" s="314"/>
      <c r="G13" s="314"/>
      <c r="H13" s="314"/>
      <c r="I13" s="314"/>
    </row>
    <row r="14" spans="1:9">
      <c r="A14" s="314"/>
      <c r="B14" s="314"/>
      <c r="C14" s="314"/>
      <c r="D14" s="314"/>
      <c r="E14" s="314"/>
      <c r="F14" s="314"/>
      <c r="G14" s="314"/>
      <c r="H14" s="314"/>
      <c r="I14" s="314"/>
    </row>
    <row r="17" spans="4:9">
      <c r="G17" s="473">
        <v>43017</v>
      </c>
      <c r="H17" s="473"/>
      <c r="I17" s="473"/>
    </row>
    <row r="18" spans="4:9">
      <c r="D18" s="59" t="s">
        <v>295</v>
      </c>
    </row>
    <row r="19" spans="4:9">
      <c r="D19" s="59" t="s">
        <v>296</v>
      </c>
    </row>
    <row r="20" spans="4:9">
      <c r="D20" s="59" t="str">
        <f>'[20]ORÇAMENTO '!D33</f>
        <v>Prefeitura Municipal de Primavera do Leste</v>
      </c>
    </row>
    <row r="21" spans="4:9">
      <c r="D21" s="59"/>
    </row>
  </sheetData>
  <mergeCells count="2">
    <mergeCell ref="A1:I1"/>
    <mergeCell ref="G17:I17"/>
  </mergeCells>
  <conditionalFormatting sqref="A5:F10">
    <cfRule type="expression" dxfId="1" priority="39" stopIfTrue="1">
      <formula>AND($A5&lt;&gt;"COMPOSICAO",$A5&lt;&gt;"INSUMO",$A5&lt;&gt;"")</formula>
    </cfRule>
    <cfRule type="expression" dxfId="0" priority="40" stopIfTrue="1">
      <formula>AND(OR($A5="COMPOSICAO",$A5="INSUMO",$A5&lt;&gt;""),$A5&lt;&gt;"")</formula>
    </cfRule>
  </conditionalFormatting>
  <pageMargins left="0.77" right="0.8" top="0.97" bottom="0.78740157480314965" header="0.4" footer="0.4"/>
  <pageSetup paperSize="9" scale="6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ORÇAMENTO (ESTIMADO) </vt:lpstr>
      <vt:lpstr>ORÇAMENTO  (PROJETO)</vt:lpstr>
      <vt:lpstr>CRONOGRAMA</vt:lpstr>
      <vt:lpstr>RESUMO </vt:lpstr>
      <vt:lpstr>TRANSPORTE MATERIAL BETUMINOSO</vt:lpstr>
      <vt:lpstr>QUANTITATIVOS</vt:lpstr>
      <vt:lpstr>Nota Serviço</vt:lpstr>
      <vt:lpstr>Volume</vt:lpstr>
      <vt:lpstr>COMPOSIÇÕES</vt:lpstr>
      <vt:lpstr>ESCAVAÇÃO</vt:lpstr>
      <vt:lpstr>BDI</vt:lpstr>
      <vt:lpstr>COMPOSIÇÕES!Area_de_impressao</vt:lpstr>
      <vt:lpstr>CRONOGRAMA!Area_de_impressao</vt:lpstr>
      <vt:lpstr>'ORÇAMENTO (ESTIMADO) '!Area_de_impressao</vt:lpstr>
      <vt:lpstr>'RESUMO '!Area_de_impressao</vt:lpstr>
      <vt:lpstr>'TRANSPORTE MATERIAL BETUMINOSO'!Area_de_impressao</vt:lpstr>
      <vt:lpstr>COMPOSIÇÕES!Titulos_de_impressao</vt:lpstr>
      <vt:lpstr>'Nota Serviço'!Titulos_de_impressao</vt:lpstr>
      <vt:lpstr>'ORÇAMENTO  (PROJETO)'!Titulos_de_impressao</vt:lpstr>
      <vt:lpstr>'ORÇAMENTO (ESTIMADO) '!Titulos_de_impressao</vt:lpstr>
      <vt:lpstr>QUANTITATIVOS!Titulos_de_impressao</vt:lpstr>
      <vt:lpstr>Volume!Titulos_de_impressao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Mirna</cp:lastModifiedBy>
  <cp:lastPrinted>2018-10-01T13:12:06Z</cp:lastPrinted>
  <dcterms:created xsi:type="dcterms:W3CDTF">2013-05-14T17:21:11Z</dcterms:created>
  <dcterms:modified xsi:type="dcterms:W3CDTF">2018-10-01T19:42:23Z</dcterms:modified>
</cp:coreProperties>
</file>